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platform-my.sharepoint.com/personal/o_lohunova_sdplatform_onmicrosoft_com/Documents/Kirgiz poject 2021/FINAL RESULTS/Deliverables/"/>
    </mc:Choice>
  </mc:AlternateContent>
  <xr:revisionPtr revIDLastSave="16" documentId="8_{50D23A95-B0B1-4EFB-AD8F-9C11F64DA670}" xr6:coauthVersionLast="47" xr6:coauthVersionMax="47" xr10:uidLastSave="{7D900568-AAC4-4ED6-AF96-92E9C64D4A0F}"/>
  <bookViews>
    <workbookView xWindow="-108" yWindow="-108" windowWidth="23256" windowHeight="12456" xr2:uid="{E7450A3E-C362-46B9-B0BF-C92C34A5E198}"/>
  </bookViews>
  <sheets>
    <sheet name="Sheet1" sheetId="1" r:id="rId1"/>
  </sheets>
  <definedNames>
    <definedName name="CZ_TMF" localSheetId="0" hidden="1">Sheet1!$B$1:$M$63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1" l="1"/>
  <c r="S2" i="1"/>
  <c r="Z63" i="1"/>
  <c r="Y63" i="1"/>
  <c r="V63" i="1"/>
  <c r="U63" i="1"/>
  <c r="T63" i="1"/>
  <c r="S63" i="1"/>
  <c r="R63" i="1"/>
  <c r="Q63" i="1"/>
  <c r="W63" i="1" s="1"/>
  <c r="Z62" i="1"/>
  <c r="Y62" i="1"/>
  <c r="V62" i="1"/>
  <c r="U62" i="1"/>
  <c r="T62" i="1"/>
  <c r="S62" i="1"/>
  <c r="R62" i="1"/>
  <c r="Q62" i="1"/>
  <c r="Z61" i="1"/>
  <c r="V61" i="1"/>
  <c r="U61" i="1"/>
  <c r="AE61" i="1" s="1"/>
  <c r="T61" i="1"/>
  <c r="S61" i="1"/>
  <c r="W61" i="1" s="1"/>
  <c r="R61" i="1"/>
  <c r="Q61" i="1"/>
  <c r="P61" i="1"/>
  <c r="Y61" i="1" s="1"/>
  <c r="AA61" i="1" s="1"/>
  <c r="Z60" i="1"/>
  <c r="V60" i="1"/>
  <c r="U60" i="1"/>
  <c r="T60" i="1"/>
  <c r="AE60" i="1" s="1"/>
  <c r="S60" i="1"/>
  <c r="R60" i="1"/>
  <c r="Q60" i="1"/>
  <c r="P60" i="1"/>
  <c r="Y60" i="1" s="1"/>
  <c r="AA60" i="1" s="1"/>
  <c r="Z59" i="1"/>
  <c r="Y59" i="1"/>
  <c r="V59" i="1"/>
  <c r="U59" i="1"/>
  <c r="T59" i="1"/>
  <c r="AE59" i="1" s="1"/>
  <c r="S59" i="1"/>
  <c r="R59" i="1"/>
  <c r="Q59" i="1"/>
  <c r="Z58" i="1"/>
  <c r="Y58" i="1"/>
  <c r="V58" i="1"/>
  <c r="U58" i="1"/>
  <c r="T58" i="1"/>
  <c r="S58" i="1"/>
  <c r="R58" i="1"/>
  <c r="Q58" i="1"/>
  <c r="W58" i="1" s="1"/>
  <c r="Z57" i="1"/>
  <c r="Y57" i="1"/>
  <c r="V57" i="1"/>
  <c r="U57" i="1"/>
  <c r="T57" i="1"/>
  <c r="S57" i="1"/>
  <c r="R57" i="1"/>
  <c r="Q57" i="1"/>
  <c r="Z56" i="1"/>
  <c r="Y56" i="1"/>
  <c r="AA56" i="1" s="1"/>
  <c r="V56" i="1"/>
  <c r="U56" i="1"/>
  <c r="AE56" i="1" s="1"/>
  <c r="T56" i="1"/>
  <c r="S56" i="1"/>
  <c r="R56" i="1"/>
  <c r="Q56" i="1"/>
  <c r="Z55" i="1"/>
  <c r="Y55" i="1"/>
  <c r="AA55" i="1" s="1"/>
  <c r="V55" i="1"/>
  <c r="U55" i="1"/>
  <c r="T55" i="1"/>
  <c r="S55" i="1"/>
  <c r="R55" i="1"/>
  <c r="Q55" i="1"/>
  <c r="Z54" i="1"/>
  <c r="Y54" i="1"/>
  <c r="AA54" i="1" s="1"/>
  <c r="V54" i="1"/>
  <c r="U54" i="1"/>
  <c r="T54" i="1"/>
  <c r="S54" i="1"/>
  <c r="R54" i="1"/>
  <c r="Q54" i="1"/>
  <c r="W54" i="1" s="1"/>
  <c r="Z53" i="1"/>
  <c r="V53" i="1"/>
  <c r="U53" i="1"/>
  <c r="T53" i="1"/>
  <c r="S53" i="1"/>
  <c r="R53" i="1"/>
  <c r="Q53" i="1"/>
  <c r="W53" i="1" s="1"/>
  <c r="P53" i="1"/>
  <c r="Y53" i="1" s="1"/>
  <c r="AA53" i="1" s="1"/>
  <c r="AB53" i="1" s="1"/>
  <c r="Z52" i="1"/>
  <c r="V52" i="1"/>
  <c r="U52" i="1"/>
  <c r="T52" i="1"/>
  <c r="S52" i="1"/>
  <c r="R52" i="1"/>
  <c r="Q52" i="1"/>
  <c r="W52" i="1" s="1"/>
  <c r="P52" i="1"/>
  <c r="Y52" i="1" s="1"/>
  <c r="AA52" i="1" s="1"/>
  <c r="AB52" i="1" s="1"/>
  <c r="Z51" i="1"/>
  <c r="V51" i="1"/>
  <c r="U51" i="1"/>
  <c r="AE51" i="1" s="1"/>
  <c r="T51" i="1"/>
  <c r="S51" i="1"/>
  <c r="R51" i="1"/>
  <c r="Q51" i="1"/>
  <c r="P51" i="1"/>
  <c r="Y51" i="1" s="1"/>
  <c r="AA51" i="1" s="1"/>
  <c r="AE50" i="1"/>
  <c r="Z50" i="1"/>
  <c r="Y50" i="1"/>
  <c r="AA50" i="1" s="1"/>
  <c r="V50" i="1"/>
  <c r="U50" i="1"/>
  <c r="T50" i="1"/>
  <c r="S50" i="1"/>
  <c r="R50" i="1"/>
  <c r="W50" i="1" s="1"/>
  <c r="Q50" i="1"/>
  <c r="Z49" i="1"/>
  <c r="Y49" i="1"/>
  <c r="V49" i="1"/>
  <c r="U49" i="1"/>
  <c r="T49" i="1"/>
  <c r="S49" i="1"/>
  <c r="R49" i="1"/>
  <c r="W49" i="1" s="1"/>
  <c r="Q49" i="1"/>
  <c r="Z48" i="1"/>
  <c r="Y48" i="1"/>
  <c r="V48" i="1"/>
  <c r="U48" i="1"/>
  <c r="T48" i="1"/>
  <c r="AE48" i="1" s="1"/>
  <c r="S48" i="1"/>
  <c r="R48" i="1"/>
  <c r="Q48" i="1"/>
  <c r="Z47" i="1"/>
  <c r="V47" i="1"/>
  <c r="U47" i="1"/>
  <c r="T47" i="1"/>
  <c r="S47" i="1"/>
  <c r="R47" i="1"/>
  <c r="Q47" i="1"/>
  <c r="P47" i="1"/>
  <c r="Y47" i="1" s="1"/>
  <c r="AA47" i="1" s="1"/>
  <c r="Z46" i="1"/>
  <c r="V46" i="1"/>
  <c r="U46" i="1"/>
  <c r="AE46" i="1" s="1"/>
  <c r="T46" i="1"/>
  <c r="S46" i="1"/>
  <c r="R46" i="1"/>
  <c r="Q46" i="1"/>
  <c r="P46" i="1"/>
  <c r="Y46" i="1" s="1"/>
  <c r="AA46" i="1" s="1"/>
  <c r="Z45" i="1"/>
  <c r="V45" i="1"/>
  <c r="U45" i="1"/>
  <c r="T45" i="1"/>
  <c r="AE45" i="1" s="1"/>
  <c r="S45" i="1"/>
  <c r="R45" i="1"/>
  <c r="Q45" i="1"/>
  <c r="P45" i="1"/>
  <c r="Y45" i="1" s="1"/>
  <c r="AA45" i="1" s="1"/>
  <c r="Z44" i="1"/>
  <c r="Y44" i="1"/>
  <c r="AA44" i="1" s="1"/>
  <c r="V44" i="1"/>
  <c r="U44" i="1"/>
  <c r="T44" i="1"/>
  <c r="AE44" i="1" s="1"/>
  <c r="S44" i="1"/>
  <c r="R44" i="1"/>
  <c r="Q44" i="1"/>
  <c r="Z43" i="1"/>
  <c r="AA43" i="1" s="1"/>
  <c r="AB43" i="1" s="1"/>
  <c r="Y43" i="1"/>
  <c r="V43" i="1"/>
  <c r="W43" i="1" s="1"/>
  <c r="U43" i="1"/>
  <c r="T43" i="1"/>
  <c r="S43" i="1"/>
  <c r="R43" i="1"/>
  <c r="Q43" i="1"/>
  <c r="Z42" i="1"/>
  <c r="Y42" i="1"/>
  <c r="AA42" i="1" s="1"/>
  <c r="V42" i="1"/>
  <c r="U42" i="1"/>
  <c r="T42" i="1"/>
  <c r="S42" i="1"/>
  <c r="R42" i="1"/>
  <c r="Q42" i="1"/>
  <c r="Z41" i="1"/>
  <c r="Y41" i="1"/>
  <c r="AA41" i="1" s="1"/>
  <c r="V41" i="1"/>
  <c r="U41" i="1"/>
  <c r="T41" i="1"/>
  <c r="S41" i="1"/>
  <c r="R41" i="1"/>
  <c r="Q41" i="1"/>
  <c r="Z40" i="1"/>
  <c r="Y40" i="1"/>
  <c r="AA40" i="1" s="1"/>
  <c r="V40" i="1"/>
  <c r="U40" i="1"/>
  <c r="T40" i="1"/>
  <c r="AE40" i="1" s="1"/>
  <c r="S40" i="1"/>
  <c r="R40" i="1"/>
  <c r="Q40" i="1"/>
  <c r="Z39" i="1"/>
  <c r="AA39" i="1" s="1"/>
  <c r="Y39" i="1"/>
  <c r="V39" i="1"/>
  <c r="U39" i="1"/>
  <c r="T39" i="1"/>
  <c r="AE39" i="1" s="1"/>
  <c r="S39" i="1"/>
  <c r="R39" i="1"/>
  <c r="Q39" i="1"/>
  <c r="Z38" i="1"/>
  <c r="Y38" i="1"/>
  <c r="V38" i="1"/>
  <c r="U38" i="1"/>
  <c r="T38" i="1"/>
  <c r="AE38" i="1" s="1"/>
  <c r="S38" i="1"/>
  <c r="R38" i="1"/>
  <c r="Q38" i="1"/>
  <c r="W38" i="1" s="1"/>
  <c r="AA37" i="1"/>
  <c r="Z37" i="1"/>
  <c r="Y37" i="1"/>
  <c r="V37" i="1"/>
  <c r="U37" i="1"/>
  <c r="T37" i="1"/>
  <c r="S37" i="1"/>
  <c r="R37" i="1"/>
  <c r="Q37" i="1"/>
  <c r="Z36" i="1"/>
  <c r="Y36" i="1"/>
  <c r="AA36" i="1" s="1"/>
  <c r="V36" i="1"/>
  <c r="U36" i="1"/>
  <c r="T36" i="1"/>
  <c r="AE36" i="1" s="1"/>
  <c r="S36" i="1"/>
  <c r="R36" i="1"/>
  <c r="Q36" i="1"/>
  <c r="Z35" i="1"/>
  <c r="V35" i="1"/>
  <c r="U35" i="1"/>
  <c r="T35" i="1"/>
  <c r="AE35" i="1" s="1"/>
  <c r="S35" i="1"/>
  <c r="R35" i="1"/>
  <c r="Q35" i="1"/>
  <c r="P35" i="1"/>
  <c r="Y35" i="1" s="1"/>
  <c r="AA35" i="1" s="1"/>
  <c r="Z34" i="1"/>
  <c r="V34" i="1"/>
  <c r="U34" i="1"/>
  <c r="T34" i="1"/>
  <c r="AE34" i="1" s="1"/>
  <c r="S34" i="1"/>
  <c r="R34" i="1"/>
  <c r="Q34" i="1"/>
  <c r="P34" i="1"/>
  <c r="Y34" i="1" s="1"/>
  <c r="Z33" i="1"/>
  <c r="Y33" i="1"/>
  <c r="AA33" i="1" s="1"/>
  <c r="V33" i="1"/>
  <c r="U33" i="1"/>
  <c r="T33" i="1"/>
  <c r="R33" i="1"/>
  <c r="Q33" i="1"/>
  <c r="P33" i="1"/>
  <c r="Z32" i="1"/>
  <c r="V32" i="1"/>
  <c r="U32" i="1"/>
  <c r="T32" i="1"/>
  <c r="S32" i="1"/>
  <c r="R32" i="1"/>
  <c r="Q32" i="1"/>
  <c r="P32" i="1"/>
  <c r="Y32" i="1" s="1"/>
  <c r="Z31" i="1"/>
  <c r="V31" i="1"/>
  <c r="U31" i="1"/>
  <c r="AE31" i="1" s="1"/>
  <c r="T31" i="1"/>
  <c r="S31" i="1"/>
  <c r="R31" i="1"/>
  <c r="Q31" i="1"/>
  <c r="P31" i="1"/>
  <c r="Y31" i="1" s="1"/>
  <c r="AE30" i="1"/>
  <c r="Z30" i="1"/>
  <c r="V30" i="1"/>
  <c r="U30" i="1"/>
  <c r="T30" i="1"/>
  <c r="S30" i="1"/>
  <c r="R30" i="1"/>
  <c r="Q30" i="1"/>
  <c r="P30" i="1"/>
  <c r="Y30" i="1" s="1"/>
  <c r="Z29" i="1"/>
  <c r="V29" i="1"/>
  <c r="U29" i="1"/>
  <c r="AE29" i="1" s="1"/>
  <c r="T29" i="1"/>
  <c r="S29" i="1"/>
  <c r="R29" i="1"/>
  <c r="Q29" i="1"/>
  <c r="P29" i="1"/>
  <c r="Y29" i="1" s="1"/>
  <c r="AA29" i="1" s="1"/>
  <c r="Z28" i="1"/>
  <c r="V28" i="1"/>
  <c r="U28" i="1"/>
  <c r="T28" i="1"/>
  <c r="S28" i="1"/>
  <c r="R28" i="1"/>
  <c r="Q28" i="1"/>
  <c r="P28" i="1"/>
  <c r="Y28" i="1" s="1"/>
  <c r="AA28" i="1" s="1"/>
  <c r="Z27" i="1"/>
  <c r="V27" i="1"/>
  <c r="U27" i="1"/>
  <c r="T27" i="1"/>
  <c r="AE27" i="1" s="1"/>
  <c r="S27" i="1"/>
  <c r="R27" i="1"/>
  <c r="Q27" i="1"/>
  <c r="P27" i="1"/>
  <c r="Y27" i="1" s="1"/>
  <c r="AA27" i="1" s="1"/>
  <c r="Z26" i="1"/>
  <c r="V26" i="1"/>
  <c r="U26" i="1"/>
  <c r="T26" i="1"/>
  <c r="AE26" i="1" s="1"/>
  <c r="S26" i="1"/>
  <c r="R26" i="1"/>
  <c r="Q26" i="1"/>
  <c r="P26" i="1"/>
  <c r="Y26" i="1" s="1"/>
  <c r="AA26" i="1" s="1"/>
  <c r="Z25" i="1"/>
  <c r="Y25" i="1"/>
  <c r="AA25" i="1" s="1"/>
  <c r="V25" i="1"/>
  <c r="U25" i="1"/>
  <c r="T25" i="1"/>
  <c r="AE25" i="1" s="1"/>
  <c r="S25" i="1"/>
  <c r="R25" i="1"/>
  <c r="Q25" i="1"/>
  <c r="P25" i="1"/>
  <c r="Z24" i="1"/>
  <c r="V24" i="1"/>
  <c r="U24" i="1"/>
  <c r="T24" i="1"/>
  <c r="AE24" i="1" s="1"/>
  <c r="S24" i="1"/>
  <c r="R24" i="1"/>
  <c r="Q24" i="1"/>
  <c r="P24" i="1"/>
  <c r="Y24" i="1" s="1"/>
  <c r="Z23" i="1"/>
  <c r="V23" i="1"/>
  <c r="U23" i="1"/>
  <c r="T23" i="1"/>
  <c r="S23" i="1"/>
  <c r="R23" i="1"/>
  <c r="Q23" i="1"/>
  <c r="P23" i="1"/>
  <c r="Y23" i="1" s="1"/>
  <c r="Z22" i="1"/>
  <c r="V22" i="1"/>
  <c r="U22" i="1"/>
  <c r="T22" i="1"/>
  <c r="AE22" i="1" s="1"/>
  <c r="S22" i="1"/>
  <c r="R22" i="1"/>
  <c r="Q22" i="1"/>
  <c r="P22" i="1"/>
  <c r="Y22" i="1" s="1"/>
  <c r="Z21" i="1"/>
  <c r="V21" i="1"/>
  <c r="U21" i="1"/>
  <c r="AE21" i="1" s="1"/>
  <c r="T21" i="1"/>
  <c r="S21" i="1"/>
  <c r="R21" i="1"/>
  <c r="Q21" i="1"/>
  <c r="P21" i="1"/>
  <c r="Y21" i="1" s="1"/>
  <c r="AA21" i="1" s="1"/>
  <c r="Z20" i="1"/>
  <c r="V20" i="1"/>
  <c r="U20" i="1"/>
  <c r="T20" i="1"/>
  <c r="S20" i="1"/>
  <c r="R20" i="1"/>
  <c r="Q20" i="1"/>
  <c r="P20" i="1"/>
  <c r="Y20" i="1" s="1"/>
  <c r="AA20" i="1" s="1"/>
  <c r="Z19" i="1"/>
  <c r="V19" i="1"/>
  <c r="U19" i="1"/>
  <c r="T19" i="1"/>
  <c r="AE19" i="1" s="1"/>
  <c r="S19" i="1"/>
  <c r="W19" i="1" s="1"/>
  <c r="R19" i="1"/>
  <c r="Q19" i="1"/>
  <c r="P19" i="1"/>
  <c r="Y19" i="1" s="1"/>
  <c r="AA19" i="1" s="1"/>
  <c r="AE18" i="1"/>
  <c r="Z18" i="1"/>
  <c r="V18" i="1"/>
  <c r="U18" i="1"/>
  <c r="T18" i="1"/>
  <c r="S18" i="1"/>
  <c r="R18" i="1"/>
  <c r="Q18" i="1"/>
  <c r="P18" i="1"/>
  <c r="Y18" i="1" s="1"/>
  <c r="AA18" i="1" s="1"/>
  <c r="Z17" i="1"/>
  <c r="V17" i="1"/>
  <c r="U17" i="1"/>
  <c r="T17" i="1"/>
  <c r="AE17" i="1" s="1"/>
  <c r="S17" i="1"/>
  <c r="R17" i="1"/>
  <c r="Q17" i="1"/>
  <c r="P17" i="1"/>
  <c r="Y17" i="1" s="1"/>
  <c r="AA17" i="1" s="1"/>
  <c r="Z16" i="1"/>
  <c r="V16" i="1"/>
  <c r="U16" i="1"/>
  <c r="T16" i="1"/>
  <c r="AE16" i="1" s="1"/>
  <c r="S16" i="1"/>
  <c r="R16" i="1"/>
  <c r="Q16" i="1"/>
  <c r="P16" i="1"/>
  <c r="Y16" i="1" s="1"/>
  <c r="AA16" i="1" s="1"/>
  <c r="Z15" i="1"/>
  <c r="V15" i="1"/>
  <c r="U15" i="1"/>
  <c r="T15" i="1"/>
  <c r="S15" i="1"/>
  <c r="R15" i="1"/>
  <c r="Q15" i="1"/>
  <c r="P15" i="1"/>
  <c r="Y15" i="1" s="1"/>
  <c r="AA15" i="1" s="1"/>
  <c r="AE14" i="1"/>
  <c r="Z14" i="1"/>
  <c r="V14" i="1"/>
  <c r="U14" i="1"/>
  <c r="T14" i="1"/>
  <c r="S14" i="1"/>
  <c r="R14" i="1"/>
  <c r="Q14" i="1"/>
  <c r="P14" i="1"/>
  <c r="Y14" i="1" s="1"/>
  <c r="Z13" i="1"/>
  <c r="Y13" i="1"/>
  <c r="V13" i="1"/>
  <c r="U13" i="1"/>
  <c r="T13" i="1"/>
  <c r="S13" i="1"/>
  <c r="R13" i="1"/>
  <c r="Q13" i="1"/>
  <c r="Z12" i="1"/>
  <c r="Y12" i="1"/>
  <c r="V12" i="1"/>
  <c r="U12" i="1"/>
  <c r="T12" i="1"/>
  <c r="AE12" i="1" s="1"/>
  <c r="S12" i="1"/>
  <c r="R12" i="1"/>
  <c r="Q12" i="1"/>
  <c r="Z11" i="1"/>
  <c r="Y11" i="1"/>
  <c r="V11" i="1"/>
  <c r="U11" i="1"/>
  <c r="T11" i="1"/>
  <c r="AE11" i="1" s="1"/>
  <c r="S11" i="1"/>
  <c r="R11" i="1"/>
  <c r="Q11" i="1"/>
  <c r="Z10" i="1"/>
  <c r="Y10" i="1"/>
  <c r="AA10" i="1" s="1"/>
  <c r="V10" i="1"/>
  <c r="U10" i="1"/>
  <c r="AE10" i="1" s="1"/>
  <c r="T10" i="1"/>
  <c r="S10" i="1"/>
  <c r="R10" i="1"/>
  <c r="Q10" i="1"/>
  <c r="Z9" i="1"/>
  <c r="Y9" i="1"/>
  <c r="AA9" i="1" s="1"/>
  <c r="V9" i="1"/>
  <c r="U9" i="1"/>
  <c r="T9" i="1"/>
  <c r="S9" i="1"/>
  <c r="R9" i="1"/>
  <c r="Q9" i="1"/>
  <c r="Z8" i="1"/>
  <c r="Y8" i="1"/>
  <c r="AA8" i="1" s="1"/>
  <c r="V8" i="1"/>
  <c r="W8" i="1" s="1"/>
  <c r="U8" i="1"/>
  <c r="T8" i="1"/>
  <c r="S8" i="1"/>
  <c r="R8" i="1"/>
  <c r="Q8" i="1"/>
  <c r="Z7" i="1"/>
  <c r="Y7" i="1"/>
  <c r="AA7" i="1" s="1"/>
  <c r="V7" i="1"/>
  <c r="U7" i="1"/>
  <c r="T7" i="1"/>
  <c r="S7" i="1"/>
  <c r="R7" i="1"/>
  <c r="Q7" i="1"/>
  <c r="Z6" i="1"/>
  <c r="Y6" i="1"/>
  <c r="AA6" i="1" s="1"/>
  <c r="V6" i="1"/>
  <c r="U6" i="1"/>
  <c r="T6" i="1"/>
  <c r="S6" i="1"/>
  <c r="R6" i="1"/>
  <c r="Q6" i="1"/>
  <c r="Z5" i="1"/>
  <c r="Y5" i="1"/>
  <c r="AA5" i="1" s="1"/>
  <c r="V5" i="1"/>
  <c r="U5" i="1"/>
  <c r="T5" i="1"/>
  <c r="AE5" i="1" s="1"/>
  <c r="S5" i="1"/>
  <c r="R5" i="1"/>
  <c r="Q5" i="1"/>
  <c r="Z4" i="1"/>
  <c r="Y4" i="1"/>
  <c r="AA4" i="1" s="1"/>
  <c r="V4" i="1"/>
  <c r="U4" i="1"/>
  <c r="T4" i="1"/>
  <c r="S4" i="1"/>
  <c r="R4" i="1"/>
  <c r="Q4" i="1"/>
  <c r="W4" i="1" s="1"/>
  <c r="Z3" i="1"/>
  <c r="Y3" i="1"/>
  <c r="V3" i="1"/>
  <c r="U3" i="1"/>
  <c r="W3" i="1" s="1"/>
  <c r="T3" i="1"/>
  <c r="S3" i="1"/>
  <c r="R3" i="1"/>
  <c r="Q3" i="1"/>
  <c r="AA2" i="1"/>
  <c r="Z2" i="1"/>
  <c r="Y2" i="1"/>
  <c r="V2" i="1"/>
  <c r="U2" i="1"/>
  <c r="AE2" i="1" s="1"/>
  <c r="T2" i="1"/>
  <c r="R2" i="1"/>
  <c r="Q2" i="1"/>
  <c r="AB18" i="1" l="1"/>
  <c r="W16" i="1"/>
  <c r="W18" i="1"/>
  <c r="W12" i="1"/>
  <c r="W28" i="1"/>
  <c r="AB28" i="1" s="1"/>
  <c r="W29" i="1"/>
  <c r="AB29" i="1" s="1"/>
  <c r="W27" i="1"/>
  <c r="AB27" i="1" s="1"/>
  <c r="W39" i="1"/>
  <c r="AB39" i="1" s="1"/>
  <c r="W35" i="1"/>
  <c r="AB35" i="1" s="1"/>
  <c r="W17" i="1"/>
  <c r="AB17" i="1" s="1"/>
  <c r="AB19" i="1"/>
  <c r="W14" i="1"/>
  <c r="AB14" i="1" s="1"/>
  <c r="AB54" i="1"/>
  <c r="AA3" i="1"/>
  <c r="AB3" i="1" s="1"/>
  <c r="W7" i="1"/>
  <c r="AB7" i="1" s="1"/>
  <c r="AE9" i="1"/>
  <c r="AB16" i="1"/>
  <c r="AE20" i="1"/>
  <c r="W23" i="1"/>
  <c r="AB23" i="1" s="1"/>
  <c r="W36" i="1"/>
  <c r="AB37" i="1"/>
  <c r="W45" i="1"/>
  <c r="AE57" i="1"/>
  <c r="AE58" i="1"/>
  <c r="W60" i="1"/>
  <c r="AE62" i="1"/>
  <c r="AE63" i="1"/>
  <c r="AB5" i="1"/>
  <c r="AB51" i="1"/>
  <c r="W11" i="1"/>
  <c r="AA30" i="1"/>
  <c r="W37" i="1"/>
  <c r="W46" i="1"/>
  <c r="W2" i="1"/>
  <c r="W5" i="1"/>
  <c r="AB8" i="1"/>
  <c r="AE13" i="1"/>
  <c r="W15" i="1"/>
  <c r="AB15" i="1" s="1"/>
  <c r="AA31" i="1"/>
  <c r="AA32" i="1"/>
  <c r="W40" i="1"/>
  <c r="W47" i="1"/>
  <c r="AE49" i="1"/>
  <c r="AA57" i="1"/>
  <c r="AA11" i="1"/>
  <c r="W30" i="1"/>
  <c r="AB30" i="1" s="1"/>
  <c r="W32" i="1"/>
  <c r="AB32" i="1" s="1"/>
  <c r="W33" i="1"/>
  <c r="AB33" i="1" s="1"/>
  <c r="AA34" i="1"/>
  <c r="AE37" i="1"/>
  <c r="W42" i="1"/>
  <c r="AB42" i="1" s="1"/>
  <c r="W51" i="1"/>
  <c r="W55" i="1"/>
  <c r="AA58" i="1"/>
  <c r="AB58" i="1" s="1"/>
  <c r="AA59" i="1"/>
  <c r="AB40" i="1"/>
  <c r="AE23" i="1"/>
  <c r="AE3" i="1"/>
  <c r="AE4" i="1"/>
  <c r="W6" i="1"/>
  <c r="W9" i="1"/>
  <c r="AA12" i="1"/>
  <c r="AA13" i="1"/>
  <c r="AE15" i="1"/>
  <c r="W21" i="1"/>
  <c r="AB21" i="1" s="1"/>
  <c r="AA22" i="1"/>
  <c r="AA23" i="1"/>
  <c r="AA24" i="1"/>
  <c r="AE28" i="1"/>
  <c r="W34" i="1"/>
  <c r="AB34" i="1" s="1"/>
  <c r="W41" i="1"/>
  <c r="AA48" i="1"/>
  <c r="AB48" i="1" s="1"/>
  <c r="AE52" i="1"/>
  <c r="AE53" i="1"/>
  <c r="AE54" i="1"/>
  <c r="W57" i="1"/>
  <c r="AA62" i="1"/>
  <c r="W20" i="1"/>
  <c r="W24" i="1"/>
  <c r="W25" i="1"/>
  <c r="AB25" i="1" s="1"/>
  <c r="W31" i="1"/>
  <c r="W44" i="1"/>
  <c r="AB44" i="1" s="1"/>
  <c r="W56" i="1"/>
  <c r="AB56" i="1" s="1"/>
  <c r="W59" i="1"/>
  <c r="AA63" i="1"/>
  <c r="AB63" i="1" s="1"/>
  <c r="AB4" i="1"/>
  <c r="AE6" i="1"/>
  <c r="AE7" i="1"/>
  <c r="AE8" i="1"/>
  <c r="W10" i="1"/>
  <c r="AB10" i="1" s="1"/>
  <c r="W13" i="1"/>
  <c r="AA14" i="1"/>
  <c r="W22" i="1"/>
  <c r="W26" i="1"/>
  <c r="AB26" i="1" s="1"/>
  <c r="AE32" i="1"/>
  <c r="AE33" i="1"/>
  <c r="AA38" i="1"/>
  <c r="AE41" i="1"/>
  <c r="AE42" i="1"/>
  <c r="AE43" i="1"/>
  <c r="AB46" i="1"/>
  <c r="W48" i="1"/>
  <c r="AA49" i="1"/>
  <c r="AE55" i="1"/>
  <c r="AB61" i="1"/>
  <c r="W62" i="1"/>
  <c r="AB55" i="1"/>
  <c r="AB6" i="1"/>
  <c r="AB9" i="1"/>
  <c r="AB41" i="1"/>
  <c r="AB57" i="1"/>
  <c r="AB36" i="1"/>
  <c r="AB45" i="1"/>
  <c r="AB50" i="1"/>
  <c r="AB60" i="1"/>
  <c r="AB38" i="1"/>
  <c r="AB47" i="1"/>
  <c r="AB49" i="1"/>
  <c r="AE47" i="1"/>
  <c r="AB12" i="1" l="1"/>
  <c r="AB11" i="1"/>
  <c r="AB24" i="1"/>
  <c r="X15" i="1"/>
  <c r="X60" i="1"/>
  <c r="X11" i="1"/>
  <c r="X54" i="1"/>
  <c r="X4" i="1"/>
  <c r="X22" i="1"/>
  <c r="X39" i="1"/>
  <c r="AB2" i="1"/>
  <c r="X61" i="1"/>
  <c r="X53" i="1"/>
  <c r="AB20" i="1"/>
  <c r="AB31" i="1"/>
  <c r="X26" i="1"/>
  <c r="X52" i="1"/>
  <c r="AB22" i="1"/>
  <c r="X9" i="1"/>
  <c r="X55" i="1"/>
  <c r="X27" i="1"/>
  <c r="X47" i="1"/>
  <c r="X62" i="1"/>
  <c r="X56" i="1"/>
  <c r="X49" i="1"/>
  <c r="X14" i="1"/>
  <c r="X20" i="1"/>
  <c r="X6" i="1"/>
  <c r="X40" i="1"/>
  <c r="X29" i="1"/>
  <c r="X38" i="1"/>
  <c r="X46" i="1"/>
  <c r="X37" i="1"/>
  <c r="X57" i="1"/>
  <c r="X8" i="1"/>
  <c r="X51" i="1"/>
  <c r="X21" i="1"/>
  <c r="X50" i="1"/>
  <c r="X17" i="1"/>
  <c r="X35" i="1"/>
  <c r="X48" i="1"/>
  <c r="X13" i="1"/>
  <c r="X45" i="1"/>
  <c r="X3" i="1"/>
  <c r="X23" i="1"/>
  <c r="X32" i="1"/>
  <c r="X28" i="1"/>
  <c r="X19" i="1"/>
  <c r="X43" i="1"/>
  <c r="X31" i="1"/>
  <c r="X58" i="1"/>
  <c r="X33" i="1"/>
  <c r="X41" i="1"/>
  <c r="X12" i="1"/>
  <c r="X59" i="1"/>
  <c r="X25" i="1"/>
  <c r="X42" i="1"/>
  <c r="X5" i="1"/>
  <c r="X24" i="1"/>
  <c r="X2" i="1"/>
  <c r="X10" i="1"/>
  <c r="X36" i="1"/>
  <c r="X44" i="1"/>
  <c r="X63" i="1"/>
  <c r="X7" i="1"/>
  <c r="X30" i="1"/>
  <c r="X18" i="1"/>
  <c r="X16" i="1"/>
  <c r="AB13" i="1"/>
  <c r="AB59" i="1"/>
  <c r="X34" i="1"/>
  <c r="AB62" i="1"/>
  <c r="AC15" i="1" l="1"/>
  <c r="AC29" i="1"/>
  <c r="AC28" i="1"/>
  <c r="AC47" i="1"/>
  <c r="AC63" i="1"/>
  <c r="AC18" i="1"/>
  <c r="AC36" i="1"/>
  <c r="AC44" i="1"/>
  <c r="AC49" i="1"/>
  <c r="AC32" i="1"/>
  <c r="AC48" i="1"/>
  <c r="AC31" i="1"/>
  <c r="AC26" i="1"/>
  <c r="AC56" i="1"/>
  <c r="AC53" i="1"/>
  <c r="AC25" i="1"/>
  <c r="AC16" i="1"/>
  <c r="AC39" i="1"/>
  <c r="AC17" i="1"/>
  <c r="AC21" i="1"/>
  <c r="AC34" i="1"/>
  <c r="AC43" i="1"/>
  <c r="AC62" i="1"/>
  <c r="AC38" i="1"/>
  <c r="AC37" i="1"/>
  <c r="AC22" i="1"/>
  <c r="AC50" i="1"/>
  <c r="AC5" i="1"/>
  <c r="AC14" i="1"/>
  <c r="AC4" i="1"/>
  <c r="AC41" i="1"/>
  <c r="AC51" i="1"/>
  <c r="AC7" i="1"/>
  <c r="AC40" i="1"/>
  <c r="AC33" i="1"/>
  <c r="AC45" i="1"/>
  <c r="AC9" i="1"/>
  <c r="AC57" i="1"/>
  <c r="AC3" i="1"/>
  <c r="AC55" i="1"/>
  <c r="AC27" i="1"/>
  <c r="AC23" i="1"/>
  <c r="AC8" i="1"/>
  <c r="AC54" i="1"/>
  <c r="AC30" i="1"/>
  <c r="AC6" i="1"/>
  <c r="AC59" i="1"/>
  <c r="AC2" i="1"/>
  <c r="AC46" i="1"/>
  <c r="AC60" i="1"/>
  <c r="AC42" i="1"/>
  <c r="AC19" i="1"/>
  <c r="AC12" i="1"/>
  <c r="AC13" i="1"/>
  <c r="AC58" i="1"/>
  <c r="AC52" i="1"/>
  <c r="AC61" i="1"/>
  <c r="AC35" i="1"/>
  <c r="AC11" i="1"/>
  <c r="AC20" i="1"/>
  <c r="AC10" i="1"/>
  <c r="AC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7821F0-29BB-41C4-8EA5-5BEE584E5CF7}" sourceFile="D:\Rudakov\Research\2018\TMF_DRB_assessment\Third_Report\CZ_TMF.xlsx" keepAlive="1" name="CZ_TMF1" type="5" refreshedVersion="4" background="1" saveData="1">
    <dbPr connection="Provider=Microsoft.ACE.OLEDB.12.0;User ID=Admin;Data Source=D:\Rudakov\Research\2018\TMF_DRB_assessment\Third_Report\CZ_TMF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MF$" commandType="3"/>
  </connection>
</connections>
</file>

<file path=xl/sharedStrings.xml><?xml version="1.0" encoding="utf-8"?>
<sst xmlns="http://schemas.openxmlformats.org/spreadsheetml/2006/main" count="569" uniqueCount="247">
  <si>
    <t>Number</t>
  </si>
  <si>
    <t>TMF number</t>
  </si>
  <si>
    <t>TMF name</t>
  </si>
  <si>
    <t>Region,  city/district</t>
  </si>
  <si>
    <t>Latitude</t>
  </si>
  <si>
    <t>Longitude</t>
  </si>
  <si>
    <t>Used capacity million m³</t>
  </si>
  <si>
    <t>Contaminants</t>
  </si>
  <si>
    <t>Water Hazard Class</t>
  </si>
  <si>
    <t>TMF status</t>
  </si>
  <si>
    <t>Seismic activity</t>
  </si>
  <si>
    <t>Flood risk (HQ-100)</t>
  </si>
  <si>
    <t>Factor of Safety (FoS)</t>
  </si>
  <si>
    <t>River possibly affected</t>
  </si>
  <si>
    <t>Mean flow rate range</t>
  </si>
  <si>
    <t>PAR total in 10 km</t>
  </si>
  <si>
    <t>THI_Cap</t>
  </si>
  <si>
    <t>THI_Tox</t>
  </si>
  <si>
    <t>THI_Manag</t>
  </si>
  <si>
    <t>THI_Nat</t>
  </si>
  <si>
    <t>THI_Dam</t>
  </si>
  <si>
    <t xml:space="preserve">THI </t>
  </si>
  <si>
    <t>National TMF hazard rank by THI</t>
  </si>
  <si>
    <t>TEI env</t>
  </si>
  <si>
    <t>TEI pop</t>
  </si>
  <si>
    <t>TRI</t>
  </si>
  <si>
    <t>National TMF hazard rank by TRI</t>
  </si>
  <si>
    <t xml:space="preserve">Risk categories </t>
  </si>
  <si>
    <t>KG01</t>
  </si>
  <si>
    <t>TMF nr. 4 of Ak-Tyuz dressing plant, CJSC TK "Geo Reserve"</t>
  </si>
  <si>
    <t>Chu region, Kemin district, Say Chyynyke of Illichivsk ayyl aymak</t>
  </si>
  <si>
    <t>Th, Cd</t>
  </si>
  <si>
    <t>Active</t>
  </si>
  <si>
    <t>yes</t>
  </si>
  <si>
    <t>low level</t>
  </si>
  <si>
    <t>KG02</t>
  </si>
  <si>
    <t>TMF nr. 1 of Ak-Tyuz mine, of the dressing plant of JSC "Kyrgyz Chemical Metallurgical Plant" (KCMP)</t>
  </si>
  <si>
    <t>Chu region, Kemin district, urban village Ak-Tyuz, at the base of the dressing plant</t>
  </si>
  <si>
    <t>Th, Cd, Zn, Mb, rare metals</t>
  </si>
  <si>
    <t>Closed</t>
  </si>
  <si>
    <t>KG03</t>
  </si>
  <si>
    <t>TMF nr. 2 of Ak-Tyuz mine, of the dressing plant of JSC "KCMP"</t>
  </si>
  <si>
    <t>Chu region, Kemin district, 1 km down from the urban village Ak-Tyuz</t>
  </si>
  <si>
    <t>Th, Zn, rare metals</t>
  </si>
  <si>
    <t>KG04</t>
  </si>
  <si>
    <t>TMF nr. 3 of Ak-Tyuz mine, of the dressing plant of JSC "KCMP"</t>
  </si>
  <si>
    <t>Chu region, Kemin district, in the Kutesay creek mouth, 1 km down from the urban village Ak-Tyuz</t>
  </si>
  <si>
    <t>Th, Pb, Zn</t>
  </si>
  <si>
    <t>no name</t>
  </si>
  <si>
    <t>≤100</t>
  </si>
  <si>
    <t>KG05</t>
  </si>
  <si>
    <t>Buurdinskoe TMF of JSC "KCMP"</t>
  </si>
  <si>
    <t>Chu region, Kemin district, in the say Berkut 3.8 km south of urban village Orlovka</t>
  </si>
  <si>
    <t>Radionuclides, Pb, Cd, Zn</t>
  </si>
  <si>
    <t>Issyk Kul</t>
  </si>
  <si>
    <t>100-1000</t>
  </si>
  <si>
    <t>medium level</t>
  </si>
  <si>
    <t>KG06</t>
  </si>
  <si>
    <t>TMF "Kaji-Say", Ministry of emergency</t>
  </si>
  <si>
    <r>
      <t>Issyk-Kul region</t>
    </r>
    <r>
      <rPr>
        <sz val="11"/>
        <color theme="1"/>
        <rFont val="Times New Roman"/>
        <family val="1"/>
      </rPr>
      <t xml:space="preserve"> , Ton district, 3 km east of the village Kaji-Say and 1.5 km south of the coast of Issyk-Kul</t>
    </r>
  </si>
  <si>
    <t>Urainum radionuclides</t>
  </si>
  <si>
    <t>Suspended</t>
  </si>
  <si>
    <t>kleinlich</t>
  </si>
  <si>
    <t>KG07</t>
  </si>
  <si>
    <t>TMF at the Kumtor deposit of closed JSC "Kumtor Gold Company"</t>
  </si>
  <si>
    <r>
      <t>Issyk-Kul region</t>
    </r>
    <r>
      <rPr>
        <sz val="11"/>
        <color theme="1"/>
        <rFont val="Times New Roman"/>
        <family val="1"/>
      </rPr>
      <t>, Jeti-Oguz district, the northern slope of Ak-Shiyrak</t>
    </r>
  </si>
  <si>
    <t>no</t>
  </si>
  <si>
    <t>Enilchek</t>
  </si>
  <si>
    <t>high level</t>
  </si>
  <si>
    <t>KG08</t>
  </si>
  <si>
    <t>TMF at the At-Jailoo deposit of Kyrgyz-Russian Enterprise "Tian-Shan olovo"</t>
  </si>
  <si>
    <t>Chu region, Ak-Su district, Interfluve Enilchek-Kaindy</t>
  </si>
  <si>
    <t>waste with As, Cu, Zn, Bi</t>
  </si>
  <si>
    <t>KG09</t>
  </si>
  <si>
    <t>TMF "Tuyuk-Suu", Ministry of emergency</t>
  </si>
  <si>
    <t>Naryn region, Dzhumgal district, urban village Ming-Kush</t>
  </si>
  <si>
    <t>KG10</t>
  </si>
  <si>
    <t>TMF "Taldy-Bulak", Ministry of emergency</t>
  </si>
  <si>
    <t>Akkel See</t>
  </si>
  <si>
    <t>KG11</t>
  </si>
  <si>
    <t>TMF "Kak", Ministry of emergency</t>
  </si>
  <si>
    <t>Koordinatensee Akkel</t>
  </si>
  <si>
    <t>KG12</t>
  </si>
  <si>
    <t>TMF "Dalnee", Ministry of emergency</t>
  </si>
  <si>
    <t>Mailu Suu</t>
  </si>
  <si>
    <t>KG13</t>
  </si>
  <si>
    <t>TMF nr. 1, Ministry of emergency</t>
  </si>
  <si>
    <t>Jalal-Abad region, Aksy district, Mailuu-Suu city, Aylampa Say, right bank</t>
  </si>
  <si>
    <t>KG14</t>
  </si>
  <si>
    <t>TMF nr. 2, Ministry of emergency</t>
  </si>
  <si>
    <t xml:space="preserve">Jalal-Abad region, Aksy district, Mailuu-Suu city, left bank of the river Aylampa Say </t>
  </si>
  <si>
    <t>KG15</t>
  </si>
  <si>
    <t>TMF nr. 3, Ministry of emergency</t>
  </si>
  <si>
    <t>KG16</t>
  </si>
  <si>
    <t>TMF nr. 4, Ministry of emergency</t>
  </si>
  <si>
    <t xml:space="preserve">Jalal-Abad region, Aksy district, Mailuu-Suu city, right bank of the river Aylampa Say </t>
  </si>
  <si>
    <t>KG17</t>
  </si>
  <si>
    <t>TMF nr. 5, Ministry of emergency</t>
  </si>
  <si>
    <t>KG18</t>
  </si>
  <si>
    <t>TMF nr. 6, Ministry of emergency</t>
  </si>
  <si>
    <t>KG19</t>
  </si>
  <si>
    <t>TMF nr. 7, Ministry of emergency</t>
  </si>
  <si>
    <t>Jalal-Abad region, Aksy district, Mailuu-Suu city</t>
  </si>
  <si>
    <t>KG20</t>
  </si>
  <si>
    <t>TMF nr. 8, Ministry of emergency</t>
  </si>
  <si>
    <t>KG21</t>
  </si>
  <si>
    <t>TMF nr. 9, Ministry of emergency</t>
  </si>
  <si>
    <t>KG22</t>
  </si>
  <si>
    <t>TMF nr. 10, Ministry of emergency</t>
  </si>
  <si>
    <t>KG23</t>
  </si>
  <si>
    <t>TMF nr. 11, Ministry of emergency</t>
  </si>
  <si>
    <t>KG24</t>
  </si>
  <si>
    <t>TMF nr. 12, Ministry of emergency</t>
  </si>
  <si>
    <t>KG25</t>
  </si>
  <si>
    <t>TMF nr. 13, Ministry of emergency</t>
  </si>
  <si>
    <t>KG26</t>
  </si>
  <si>
    <t>TMF nr. 14, Ministry of emergency</t>
  </si>
  <si>
    <t>Jalal-Abad region, Aksy district, Mailuu-Suu city, left bank of the  river Sarabagly-Shuulduusay</t>
  </si>
  <si>
    <t>KG27</t>
  </si>
  <si>
    <t>TMF nr. 15, Ministry of emergency</t>
  </si>
  <si>
    <t>Jalal-Abad region, Aksy district, Mailuu-Suu city, Sugety Say</t>
  </si>
  <si>
    <t>KG28</t>
  </si>
  <si>
    <t>TMF nr. 16, Ministry of emergency</t>
  </si>
  <si>
    <t>Jalal-Abad region, Aksy district, Mailuu-Suu city, left bank of the river Ashvaz</t>
  </si>
  <si>
    <t>KG29</t>
  </si>
  <si>
    <t>TMF nr. 17, Ministry of emergency</t>
  </si>
  <si>
    <t>Jalal-Abad region, Aksy district, Mailuu-Suu city, left bank of the river Mailuu-Suu</t>
  </si>
  <si>
    <t>KG30</t>
  </si>
  <si>
    <t>TMF nr. 18, Ministry of emergency</t>
  </si>
  <si>
    <t>KG31</t>
  </si>
  <si>
    <t>TMF nr. 19, Ministry of emergency</t>
  </si>
  <si>
    <t>KG32</t>
  </si>
  <si>
    <t>TMF nr. 20, Ministry of emergency</t>
  </si>
  <si>
    <t>Jalal-Abad region, Aksy district, Mailuu-Suu city, right bank of the river Mailuu-Suu</t>
  </si>
  <si>
    <t>KG33</t>
  </si>
  <si>
    <t>TMF nr. 21, Ministry of emergency</t>
  </si>
  <si>
    <t>KG34</t>
  </si>
  <si>
    <t>TMF nr. 22, Ministry of emergency</t>
  </si>
  <si>
    <t>KG35</t>
  </si>
  <si>
    <t>TMF nr. 23, Ministry of emergency</t>
  </si>
  <si>
    <t>Jalal-Abad region, Aksy district, Mailuu-Suu city, Aylampa Say, left bank</t>
  </si>
  <si>
    <t>Tereksay</t>
  </si>
  <si>
    <t>KG36</t>
  </si>
  <si>
    <t>TMF "Terek", JSC "Kyrgyzaltyn"</t>
  </si>
  <si>
    <t>Jalal-Abad region, Chatkal district, urban village Terek-Sai east of the Terek deposit</t>
  </si>
  <si>
    <t>Sb</t>
  </si>
  <si>
    <t>KG37</t>
  </si>
  <si>
    <t>TMF of the Terek-Say dressing plant, JSC "Kyrgyzaltyn"</t>
  </si>
  <si>
    <t xml:space="preserve">Jalal-Abad region, Chatkal district, urban village Terek-Sai </t>
  </si>
  <si>
    <t>Sb, As</t>
  </si>
  <si>
    <t>KG38</t>
  </si>
  <si>
    <t>TMF nr.1, Ministry of emergency</t>
  </si>
  <si>
    <t>Jalal-Abad region, Chatkal district, urban village Sumsar</t>
  </si>
  <si>
    <t>Heavy metals</t>
  </si>
  <si>
    <t>Sumsar</t>
  </si>
  <si>
    <t>KG39</t>
  </si>
  <si>
    <t>TMF nr.2, Ministry of emergency</t>
  </si>
  <si>
    <t>KG40</t>
  </si>
  <si>
    <t>TMF nr.3, Ministry of emergency</t>
  </si>
  <si>
    <t>KG41</t>
  </si>
  <si>
    <t>TMF of LLC "Full Golg Mining"</t>
  </si>
  <si>
    <t>Jalal-Abad region, Ala-Bukin district, Ishtamberdi</t>
  </si>
  <si>
    <t>Chemical reagents</t>
  </si>
  <si>
    <t>Ishtamberds</t>
  </si>
  <si>
    <t>KG42</t>
  </si>
  <si>
    <t>TMF of LLC "Kazakhmys Gold Kyrgyzstan"</t>
  </si>
  <si>
    <t>Jalal-Abad region, Ala-Bukin district, Bozumchak</t>
  </si>
  <si>
    <t>KG43</t>
  </si>
  <si>
    <t>TMF at Makmal deposit of open JSC "Kyrgyzaltyn", the branch of gold mining combine "Makmalzoloto"</t>
  </si>
  <si>
    <t>Jalal-Abad region, Toguz-Torouz district, 12 km south of Kazarman village</t>
  </si>
  <si>
    <t>Sodium cyanide</t>
  </si>
  <si>
    <t>Naryn</t>
  </si>
  <si>
    <t>KG44</t>
  </si>
  <si>
    <t>TMF of open JSK "Kadamzhay antimony plant" (KAP)</t>
  </si>
  <si>
    <t>Batken region, Kadamzhay district, the industrial zone of Kadamzhai urban village</t>
  </si>
  <si>
    <t>Shakhimardan</t>
  </si>
  <si>
    <t>KG45</t>
  </si>
  <si>
    <t>Salt storage of open JSK "KAP"</t>
  </si>
  <si>
    <t>Sb, As, sodium carbonates</t>
  </si>
  <si>
    <t>KG46</t>
  </si>
  <si>
    <t xml:space="preserve">Slagheap  of open JSK "KAP" </t>
  </si>
  <si>
    <t>Sb, As, silica</t>
  </si>
  <si>
    <t>100-1001</t>
  </si>
  <si>
    <t>KG47</t>
  </si>
  <si>
    <t>TMF Nr.1, Ministry of emergency</t>
  </si>
  <si>
    <t>Batken region, Kadamzhay district, Kan urban village</t>
  </si>
  <si>
    <t>Heavy metals and their salts</t>
  </si>
  <si>
    <t>KG48</t>
  </si>
  <si>
    <t>TMF Nr.2, Ministry of emergency</t>
  </si>
  <si>
    <t xml:space="preserve">KG 49  </t>
  </si>
  <si>
    <t>OJSC "Kara-Balta mining plant"</t>
  </si>
  <si>
    <t>Chui region, Jayil district, Kara-Balta city, Southern industrial zone</t>
  </si>
  <si>
    <t>Radionuclides; Ammonium, nitrites, nitrates; sulfates, chlorides; Na, Mg, K, solid phase slurry</t>
  </si>
  <si>
    <t>Chu</t>
  </si>
  <si>
    <t>KG 50</t>
  </si>
  <si>
    <t>TMF of Kichi-Chaarat JSC</t>
  </si>
  <si>
    <t>Jalal-Abad region, Chatkal region,</t>
  </si>
  <si>
    <t>waste from the gold mining industry, cyanogen substitutes</t>
  </si>
  <si>
    <t>Chatkal</t>
  </si>
  <si>
    <t xml:space="preserve">KG 51 </t>
  </si>
  <si>
    <t xml:space="preserve">    Cyanide TMF Altyn-Ken LLC</t>
  </si>
  <si>
    <t>Chui region, Kemin district, Orlovka</t>
  </si>
  <si>
    <t>KG 52</t>
  </si>
  <si>
    <t xml:space="preserve">  TMF LLC "Altyn-Ken"</t>
  </si>
  <si>
    <t>flotation tailings</t>
  </si>
  <si>
    <t>KG 53</t>
  </si>
  <si>
    <t xml:space="preserve">   Tuya-Muyun 2 heaps of the uranium-vanadium mine Tuya-Muyun</t>
  </si>
  <si>
    <t>Osh region, Nookat district</t>
  </si>
  <si>
    <t>Ca (UO2) 2 (VO4) 2 6-9 H2O</t>
  </si>
  <si>
    <t>Aravan-say</t>
  </si>
  <si>
    <t>KG 54</t>
  </si>
  <si>
    <t>Branch of OJSC "Kyrgyzaltyn" Mine "Solton-Sary"</t>
  </si>
  <si>
    <t>Naryn region, Naryn region</t>
  </si>
  <si>
    <t>gravity tails</t>
  </si>
  <si>
    <t>Sultansary</t>
  </si>
  <si>
    <t>KG 55</t>
  </si>
  <si>
    <t xml:space="preserve">     Tailings storage facility of Alliance Altyn LLC, Jerui deposit.</t>
  </si>
  <si>
    <t>Talas region, Talas district, Bak-Moldo ayil okmotu</t>
  </si>
  <si>
    <t>waste of gold-bearing ore dressing</t>
  </si>
  <si>
    <t>Чон чычка</t>
  </si>
  <si>
    <t>KG 56</t>
  </si>
  <si>
    <t xml:space="preserve">     Khaidarkan mercury plant "Simap"</t>
  </si>
  <si>
    <t>Batken region,</t>
  </si>
  <si>
    <t>ore dressing waste</t>
  </si>
  <si>
    <t>KG 57</t>
  </si>
  <si>
    <t xml:space="preserve">   Khaidarkan mercury plant "Su-Tash".</t>
  </si>
  <si>
    <t>Batken region</t>
  </si>
  <si>
    <t>Khodzkha - Ahkan</t>
  </si>
  <si>
    <t>KG 58</t>
  </si>
  <si>
    <t>TMF of "Kaidi" LLC</t>
  </si>
  <si>
    <t>Osh region, Chon-Alai district</t>
  </si>
  <si>
    <t>Kyzyl suu</t>
  </si>
  <si>
    <t>KG 59</t>
  </si>
  <si>
    <t>TMF No. 2 of JSC "KHMZ"</t>
  </si>
  <si>
    <t>Chuy region, Kemin district, Orlovka town</t>
  </si>
  <si>
    <t>Radionuclides, Pb, Zn, other metals</t>
  </si>
  <si>
    <t>KG 60</t>
  </si>
  <si>
    <t>Salt accumulators of JSC "KHMZ"</t>
  </si>
  <si>
    <t>KG 61</t>
  </si>
  <si>
    <t>TMF No. 1 Makmal</t>
  </si>
  <si>
    <t>Jalal-Abad region, Toguz-Toruz district, 12 km south of Kazarman village</t>
  </si>
  <si>
    <t>waste from the gold mining industry</t>
  </si>
  <si>
    <t>KG 62</t>
  </si>
  <si>
    <t>LLC "Chauwai-Ken"</t>
  </si>
  <si>
    <t>Batken region Kadamjai district, village Chauvay</t>
  </si>
  <si>
    <t xml:space="preserve">Chauvaysay </t>
  </si>
  <si>
    <t>Sodium cyanide, Cyanides and heavy metals.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</si>
</sst>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Noto Sans"/>
      <family val="2"/>
    </font>
    <font>
      <sz val="11"/>
      <color theme="0"/>
      <name val="Times New Roman"/>
      <family val="1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NumberFormat="1" applyFont="1" applyFill="1" applyBorder="1"/>
    <xf numFmtId="1" fontId="1" fillId="2" borderId="1" xfId="1" applyNumberFormat="1" applyFont="1" applyFill="1" applyBorder="1"/>
    <xf numFmtId="164" fontId="1" fillId="3" borderId="1" xfId="1" applyNumberFormat="1" applyFont="1" applyFill="1" applyBorder="1"/>
    <xf numFmtId="0" fontId="1" fillId="3" borderId="1" xfId="1" applyFont="1" applyFill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1" applyFont="1" applyFill="1" applyBorder="1"/>
    <xf numFmtId="164" fontId="3" fillId="5" borderId="1" xfId="1" applyNumberFormat="1" applyFont="1" applyFill="1" applyBorder="1"/>
    <xf numFmtId="0" fontId="3" fillId="5" borderId="1" xfId="1" applyFont="1" applyFill="1" applyBorder="1"/>
    <xf numFmtId="0" fontId="7" fillId="4" borderId="0" xfId="0" applyFont="1" applyFill="1"/>
    <xf numFmtId="1" fontId="8" fillId="2" borderId="1" xfId="1" applyNumberFormat="1" applyFont="1" applyFill="1" applyBorder="1"/>
    <xf numFmtId="0" fontId="8" fillId="2" borderId="1" xfId="1" applyFont="1" applyFill="1" applyBorder="1"/>
    <xf numFmtId="0" fontId="9" fillId="2" borderId="1" xfId="0" applyFont="1" applyFill="1" applyBorder="1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4" fontId="4" fillId="6" borderId="1" xfId="0" applyNumberFormat="1" applyFont="1" applyFill="1" applyBorder="1" applyAlignment="1">
      <alignment horizontal="center" vertical="center" wrapText="1"/>
    </xf>
    <xf numFmtId="164" fontId="1" fillId="6" borderId="0" xfId="0" applyNumberFormat="1" applyFont="1" applyFill="1"/>
    <xf numFmtId="164" fontId="4" fillId="7" borderId="1" xfId="1" applyNumberFormat="1" applyFont="1" applyFill="1" applyBorder="1"/>
    <xf numFmtId="0" fontId="1" fillId="7" borderId="0" xfId="0" applyFont="1" applyFill="1"/>
  </cellXfs>
  <cellStyles count="2">
    <cellStyle name="Normal" xfId="0" builtinId="0"/>
    <cellStyle name="Normal 2" xfId="1" xr:uid="{D27B8148-5B2D-469E-8BFB-5EA34FAC18F9}"/>
  </cellStyles>
  <dxfs count="17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connections" Target="connection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Z_TMF" connectionId="1" xr16:uid="{750FAC04-DA42-42FA-9D14-22F2A716350A}" autoFormatId="16" applyNumberFormats="0" applyBorderFormats="0" applyFontFormats="0" applyPatternFormats="0" applyAlignmentFormats="0" applyWidthHeightFormats="0">
  <queryTableRefresh nextId="32" unboundColumnsRight="3">
    <queryTableFields count="15">
      <queryTableField id="4" name="European TMF Code" tableColumnId="4"/>
      <queryTableField id="5" name="TMF name" tableColumnId="5"/>
      <queryTableField id="23" dataBound="0" tableColumnId="1"/>
      <queryTableField id="26" dataBound="0" tableColumnId="8"/>
      <queryTableField id="25" dataBound="0" tableColumnId="7"/>
      <queryTableField id="11" name="Used capacity (Mio m³)" tableColumnId="11"/>
      <queryTableField id="24" dataBound="0" tableColumnId="6"/>
      <queryTableField id="22" dataBound="0" tableColumnId="3"/>
      <queryTableField id="12" name="TMF status" tableColumnId="12"/>
      <queryTableField id="21" dataBound="0" tableColumnId="2"/>
      <queryTableField id="13" name="Flood risk (HQ-100)" tableColumnId="13"/>
      <queryTableField id="14" name="Factor of Safety (FoS)" tableColumnId="14"/>
      <queryTableField id="30" dataBound="0" tableColumnId="16"/>
      <queryTableField id="29" dataBound="0" tableColumnId="15"/>
      <queryTableField id="27" dataBound="0" tableColumnId="9"/>
    </queryTableFields>
    <queryTableDeletedFields count="13">
      <deletedField name="F1"/>
      <deletedField name="Country Code"/>
      <deletedField name="National TMF Code"/>
      <deletedField name="Nearest settlement"/>
      <deletedField name="Region"/>
      <deletedField name="Longitude"/>
      <deletedField name="Latitude"/>
      <deletedField name="Location type"/>
      <deletedField name="Embankment material"/>
      <deletedField name="Dam crest width (m)"/>
      <deletedField name="Decommissioning year"/>
      <deletedField name="Reference year"/>
      <deletedField name="Commissioning yea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4ACFC3-1EE4-42D0-9FA0-0FAD811E668C}" name="Таблица_CZ_TMF2" displayName="Таблица_CZ_TMF2" ref="B1:P63" tableType="queryTable" totalsRowShown="0" headerRowDxfId="16" dataDxfId="15" headerRowCellStyle="Normal 2">
  <autoFilter ref="B1:P63" xr:uid="{A94ACFC3-1EE4-42D0-9FA0-0FAD811E668C}"/>
  <tableColumns count="15">
    <tableColumn id="4" xr3:uid="{11792BAA-D060-44AD-B6F9-6DBE0B9DC49A}" uniqueName="4" name="TMF number" queryTableFieldId="4" dataDxfId="14"/>
    <tableColumn id="5" xr3:uid="{FFA6586C-C6A3-4B0E-869B-B781492DCF24}" uniqueName="5" name="TMF name" queryTableFieldId="5" dataDxfId="13"/>
    <tableColumn id="1" xr3:uid="{DD661F98-A3BF-4187-BC4E-5C6F4139441C}" uniqueName="1" name="Region,  city/district" queryTableFieldId="23" dataDxfId="12"/>
    <tableColumn id="8" xr3:uid="{442F842C-968C-4679-92D6-2CAE7C0495F0}" uniqueName="8" name="Latitude" queryTableFieldId="26" dataDxfId="11"/>
    <tableColumn id="7" xr3:uid="{0112238E-12B9-462E-8433-17986B3E9C7A}" uniqueName="7" name="Longitude" queryTableFieldId="25" dataDxfId="10"/>
    <tableColumn id="11" xr3:uid="{81AEACC7-A362-4650-A154-B8C2FAD92D23}" uniqueName="11" name="Used capacity million m³" queryTableFieldId="11" dataDxfId="9"/>
    <tableColumn id="6" xr3:uid="{4C45AB9C-94B5-47D7-8A81-780963BD5C49}" uniqueName="6" name="Contaminants" queryTableFieldId="24" dataDxfId="8"/>
    <tableColumn id="3" xr3:uid="{C30753DE-F4C7-4F19-9753-DBA8C83CBFAC}" uniqueName="3" name="Water Hazard Class" queryTableFieldId="22" dataDxfId="7"/>
    <tableColumn id="12" xr3:uid="{30BC6F9C-7741-4C10-B4CF-5093A48A2EE5}" uniqueName="12" name="TMF status" queryTableFieldId="12" dataDxfId="6"/>
    <tableColumn id="2" xr3:uid="{7AC9AFB0-B412-411A-AACA-15979D318534}" uniqueName="2" name="Seismic activity" queryTableFieldId="21" dataDxfId="5"/>
    <tableColumn id="13" xr3:uid="{A7343335-4450-4864-82F8-C5C73BDCF1A2}" uniqueName="13" name="Flood risk (HQ-100)" queryTableFieldId="13" dataDxfId="4"/>
    <tableColumn id="14" xr3:uid="{5B23AA9B-4366-43AD-9627-F48B4C90C4FF}" uniqueName="14" name="Factor of Safety (FoS)" queryTableFieldId="14" dataDxfId="3"/>
    <tableColumn id="16" xr3:uid="{F4F9C6D7-498B-4346-BB09-D6EF95744DDB}" uniqueName="16" name="River possibly affected" queryTableFieldId="30" dataDxfId="2"/>
    <tableColumn id="15" xr3:uid="{A27B8505-C50A-4DEA-95C7-19076B218CBB}" uniqueName="15" name="Mean flow rate range" queryTableFieldId="29" dataDxfId="1"/>
    <tableColumn id="9" xr3:uid="{E44C9585-05EF-485E-B19C-2AF2AD2049D8}" uniqueName="9" name="PAR total in 10 km" queryTableFieldId="2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16DF-9F78-456E-A083-F1302AA39A39}">
  <dimension ref="A1:AF63"/>
  <sheetViews>
    <sheetView tabSelected="1" topLeftCell="D58" zoomScale="85" zoomScaleNormal="85" workbookViewId="0">
      <selection activeCell="H17" sqref="H17"/>
    </sheetView>
  </sheetViews>
  <sheetFormatPr defaultColWidth="8.6640625" defaultRowHeight="13.8" x14ac:dyDescent="0.25"/>
  <cols>
    <col min="1" max="1" width="8.88671875" style="1" bestFit="1" customWidth="1"/>
    <col min="2" max="2" width="14.6640625" style="1" bestFit="1" customWidth="1"/>
    <col min="3" max="3" width="65.5546875" style="1" customWidth="1"/>
    <col min="4" max="4" width="61.44140625" style="1" bestFit="1" customWidth="1"/>
    <col min="5" max="5" width="12.88671875" style="1" bestFit="1" customWidth="1"/>
    <col min="6" max="6" width="14.44140625" style="1" bestFit="1" customWidth="1"/>
    <col min="7" max="7" width="24.44140625" style="1" customWidth="1"/>
    <col min="8" max="8" width="75.88671875" style="1" bestFit="1" customWidth="1"/>
    <col min="9" max="9" width="20.6640625" style="1" hidden="1" customWidth="1"/>
    <col min="10" max="10" width="13.109375" style="1" bestFit="1" customWidth="1"/>
    <col min="11" max="11" width="16.44140625" style="1" hidden="1" customWidth="1"/>
    <col min="12" max="12" width="22.6640625" style="2" hidden="1" customWidth="1"/>
    <col min="13" max="13" width="22" style="1" bestFit="1" customWidth="1"/>
    <col min="14" max="14" width="22.6640625" style="1" bestFit="1" customWidth="1"/>
    <col min="15" max="15" width="21.6640625" style="1" bestFit="1" customWidth="1"/>
    <col min="16" max="16" width="19.6640625" style="1" bestFit="1" customWidth="1"/>
    <col min="17" max="17" width="11.88671875" style="3" bestFit="1" customWidth="1"/>
    <col min="18" max="18" width="9" style="1" bestFit="1" customWidth="1"/>
    <col min="19" max="19" width="11.5546875" style="1" bestFit="1" customWidth="1"/>
    <col min="20" max="20" width="8.6640625" style="1" bestFit="1" customWidth="1"/>
    <col min="21" max="21" width="9.6640625" style="1" customWidth="1"/>
    <col min="22" max="22" width="9.6640625" style="1" bestFit="1" customWidth="1"/>
    <col min="23" max="23" width="10.5546875" style="32" customWidth="1"/>
    <col min="24" max="24" width="31.33203125" style="1" hidden="1" customWidth="1"/>
    <col min="25" max="25" width="6" style="1" bestFit="1" customWidth="1"/>
    <col min="26" max="26" width="3.5546875" style="1" bestFit="1" customWidth="1"/>
    <col min="27" max="27" width="6" style="1" bestFit="1" customWidth="1"/>
    <col min="28" max="28" width="12.109375" style="34" bestFit="1" customWidth="1"/>
    <col min="29" max="29" width="20" style="1" customWidth="1"/>
    <col min="30" max="30" width="8.6640625" style="1"/>
    <col min="31" max="31" width="8.88671875" style="1" bestFit="1" customWidth="1"/>
    <col min="32" max="32" width="17.33203125" style="1" customWidth="1"/>
    <col min="33" max="16384" width="8.6640625" style="1"/>
  </cols>
  <sheetData>
    <row r="1" spans="1:32" s="26" customFormat="1" x14ac:dyDescent="0.2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1" t="s">
        <v>10</v>
      </c>
      <c r="L1" s="22" t="s">
        <v>11</v>
      </c>
      <c r="M1" s="21" t="s">
        <v>12</v>
      </c>
      <c r="N1" s="23" t="s">
        <v>13</v>
      </c>
      <c r="O1" s="23" t="s">
        <v>14</v>
      </c>
      <c r="P1" s="23" t="s">
        <v>15</v>
      </c>
      <c r="Q1" s="24" t="s">
        <v>16</v>
      </c>
      <c r="R1" s="25" t="s">
        <v>17</v>
      </c>
      <c r="S1" s="25" t="s">
        <v>18</v>
      </c>
      <c r="T1" s="25" t="s">
        <v>19</v>
      </c>
      <c r="U1" s="25"/>
      <c r="V1" s="25" t="s">
        <v>20</v>
      </c>
      <c r="W1" s="24" t="s">
        <v>21</v>
      </c>
      <c r="X1" s="25" t="s">
        <v>22</v>
      </c>
      <c r="Y1" s="25" t="s">
        <v>23</v>
      </c>
      <c r="Z1" s="25" t="s">
        <v>24</v>
      </c>
      <c r="AA1" s="25"/>
      <c r="AB1" s="25" t="s">
        <v>25</v>
      </c>
      <c r="AC1" s="25" t="s">
        <v>26</v>
      </c>
      <c r="AD1" s="21"/>
      <c r="AE1" s="25" t="s">
        <v>19</v>
      </c>
      <c r="AF1" s="21" t="s">
        <v>27</v>
      </c>
    </row>
    <row r="2" spans="1:32" x14ac:dyDescent="0.25">
      <c r="A2" s="4">
        <v>1</v>
      </c>
      <c r="B2" s="7" t="s">
        <v>28</v>
      </c>
      <c r="C2" s="8" t="s">
        <v>29</v>
      </c>
      <c r="D2" s="8" t="s">
        <v>30</v>
      </c>
      <c r="E2" s="9">
        <v>42.873261999999997</v>
      </c>
      <c r="F2" s="9">
        <v>76.109565000000003</v>
      </c>
      <c r="G2" s="7">
        <v>2.3679999999999999</v>
      </c>
      <c r="H2" s="9" t="s">
        <v>31</v>
      </c>
      <c r="I2" s="7">
        <v>3</v>
      </c>
      <c r="J2" s="7" t="s">
        <v>32</v>
      </c>
      <c r="K2" s="7">
        <v>8.02</v>
      </c>
      <c r="L2" s="7" t="s">
        <v>33</v>
      </c>
      <c r="M2" s="7"/>
      <c r="N2" s="6">
        <v>0</v>
      </c>
      <c r="O2" s="27">
        <v>0</v>
      </c>
      <c r="P2" s="6">
        <v>0</v>
      </c>
      <c r="Q2" s="10">
        <f>IF(ISBLANK(Таблица_CZ_TMF2[[#This Row],[Used capacity million m³]]),"",LOG10(Таблица_CZ_TMF2[[#This Row],[Used capacity million m³]]*1000000))</f>
        <v>6.3743816980508825</v>
      </c>
      <c r="R2" s="6">
        <f t="shared" ref="R2:R33" si="0">IF(ISBLANK(I2),"",I2)</f>
        <v>3</v>
      </c>
      <c r="S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2" s="6">
        <f t="shared" ref="T2:T33" si="1">IF(ISBLANK(K2),"",IF(K2&lt;=1,0,1))</f>
        <v>1</v>
      </c>
      <c r="U2" s="6">
        <f t="shared" ref="U2:U33" si="2">IF(ISBLANK(L2),"",IF(L2="no",0,1))</f>
        <v>1</v>
      </c>
      <c r="V2" s="6">
        <f t="shared" ref="V2:V33" si="3">IF(M2&gt;1.35,0,1)</f>
        <v>1</v>
      </c>
      <c r="W2" s="31">
        <f t="shared" ref="W2:W63" si="4">SUM(Q2:V2)</f>
        <v>15.374381698050883</v>
      </c>
      <c r="X2" s="7">
        <f t="shared" ref="X2:X63" si="5">RANK(W2, $W$2:$W$63, 0)</f>
        <v>6</v>
      </c>
      <c r="Y2" s="10">
        <f t="shared" ref="Y2:Y33" si="6">IF(O2="",0,IF(P2=0,1,IF(P2&lt;=100,2,IF(P2&lt;=1000,3,IF(P2&lt;=10000,4,IF(P2&lt;=100000,5,6))))))</f>
        <v>1</v>
      </c>
      <c r="Z2" s="10">
        <f t="shared" ref="Z2:Z33" si="7">IF(O2="",1,IF(O2=0,1,IF(O2="≤100",2,IF(O2="100-1000",3,4))))</f>
        <v>1</v>
      </c>
      <c r="AA2" s="10">
        <f t="shared" ref="AA2:AA63" si="8">Y2+Z2</f>
        <v>2</v>
      </c>
      <c r="AB2" s="33">
        <f t="shared" ref="AB2:AB63" si="9">AA2+W2</f>
        <v>17.374381698050883</v>
      </c>
      <c r="AC2" s="11">
        <f t="shared" ref="AC2:AC63" si="10">RANK(AB2, $AB$2:$AB$63, 0)</f>
        <v>50</v>
      </c>
      <c r="AD2" s="4"/>
      <c r="AE2" s="4">
        <f t="shared" ref="AE2:AE63" si="11">T2+U2</f>
        <v>2</v>
      </c>
      <c r="AF2" s="4" t="s">
        <v>34</v>
      </c>
    </row>
    <row r="3" spans="1:32" ht="27.6" x14ac:dyDescent="0.25">
      <c r="A3" s="4">
        <v>2</v>
      </c>
      <c r="B3" s="7" t="s">
        <v>35</v>
      </c>
      <c r="C3" s="8" t="s">
        <v>36</v>
      </c>
      <c r="D3" s="8" t="s">
        <v>37</v>
      </c>
      <c r="E3" s="9">
        <v>42.868574000000002</v>
      </c>
      <c r="F3" s="9">
        <v>76.103847999999999</v>
      </c>
      <c r="G3" s="7">
        <v>0.37</v>
      </c>
      <c r="H3" s="9" t="s">
        <v>38</v>
      </c>
      <c r="I3" s="7">
        <v>4</v>
      </c>
      <c r="J3" s="7" t="s">
        <v>39</v>
      </c>
      <c r="K3" s="7">
        <v>8.02</v>
      </c>
      <c r="L3" s="7" t="s">
        <v>33</v>
      </c>
      <c r="M3" s="7"/>
      <c r="N3" s="6">
        <v>0</v>
      </c>
      <c r="O3" s="27">
        <v>0</v>
      </c>
      <c r="P3" s="6">
        <v>0</v>
      </c>
      <c r="Q3" s="12">
        <f>IF(ISBLANK(Таблица_CZ_TMF2[[#This Row],[Used capacity million m³]]),"",LOG10(Таблица_CZ_TMF2[[#This Row],[Used capacity million m³]]*1000000))</f>
        <v>5.568201724066995</v>
      </c>
      <c r="R3" s="6">
        <f t="shared" si="0"/>
        <v>4</v>
      </c>
      <c r="S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3" s="13">
        <f t="shared" si="1"/>
        <v>1</v>
      </c>
      <c r="U3" s="13">
        <f t="shared" si="2"/>
        <v>1</v>
      </c>
      <c r="V3" s="13">
        <f t="shared" si="3"/>
        <v>1</v>
      </c>
      <c r="W3" s="31">
        <f t="shared" si="4"/>
        <v>12.568201724066995</v>
      </c>
      <c r="X3" s="7">
        <f t="shared" si="5"/>
        <v>48</v>
      </c>
      <c r="Y3" s="10">
        <f t="shared" si="6"/>
        <v>1</v>
      </c>
      <c r="Z3" s="10">
        <f t="shared" si="7"/>
        <v>1</v>
      </c>
      <c r="AA3" s="10">
        <f t="shared" si="8"/>
        <v>2</v>
      </c>
      <c r="AB3" s="33">
        <f t="shared" si="9"/>
        <v>14.568201724066995</v>
      </c>
      <c r="AC3" s="11">
        <f t="shared" si="10"/>
        <v>56</v>
      </c>
      <c r="AD3" s="4"/>
      <c r="AE3" s="4">
        <f t="shared" si="11"/>
        <v>2</v>
      </c>
      <c r="AF3" s="4" t="s">
        <v>34</v>
      </c>
    </row>
    <row r="4" spans="1:32" x14ac:dyDescent="0.25">
      <c r="A4" s="4">
        <v>3</v>
      </c>
      <c r="B4" s="7" t="s">
        <v>40</v>
      </c>
      <c r="C4" s="8" t="s">
        <v>41</v>
      </c>
      <c r="D4" s="8" t="s">
        <v>42</v>
      </c>
      <c r="E4" s="9">
        <v>42.870469999999997</v>
      </c>
      <c r="F4" s="9">
        <v>76.101551000000001</v>
      </c>
      <c r="G4" s="7">
        <v>0.37</v>
      </c>
      <c r="H4" s="9" t="s">
        <v>43</v>
      </c>
      <c r="I4" s="7">
        <v>4</v>
      </c>
      <c r="J4" s="7" t="s">
        <v>39</v>
      </c>
      <c r="K4" s="7">
        <v>8.02</v>
      </c>
      <c r="L4" s="7" t="s">
        <v>33</v>
      </c>
      <c r="M4" s="7"/>
      <c r="N4" s="6">
        <v>0</v>
      </c>
      <c r="O4" s="27">
        <v>0</v>
      </c>
      <c r="P4" s="6">
        <v>0</v>
      </c>
      <c r="Q4" s="10">
        <f>IF(ISBLANK(Таблица_CZ_TMF2[[#This Row],[Used capacity million m³]]),"",LOG10(Таблица_CZ_TMF2[[#This Row],[Used capacity million m³]]*1000000))</f>
        <v>5.568201724066995</v>
      </c>
      <c r="R4" s="6">
        <f t="shared" si="0"/>
        <v>4</v>
      </c>
      <c r="S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4" s="6">
        <f t="shared" si="1"/>
        <v>1</v>
      </c>
      <c r="U4" s="6">
        <f t="shared" si="2"/>
        <v>1</v>
      </c>
      <c r="V4" s="6">
        <f t="shared" si="3"/>
        <v>1</v>
      </c>
      <c r="W4" s="31">
        <f t="shared" si="4"/>
        <v>12.568201724066995</v>
      </c>
      <c r="X4" s="7">
        <f t="shared" si="5"/>
        <v>48</v>
      </c>
      <c r="Y4" s="10">
        <f t="shared" si="6"/>
        <v>1</v>
      </c>
      <c r="Z4" s="10">
        <f t="shared" si="7"/>
        <v>1</v>
      </c>
      <c r="AA4" s="10">
        <f t="shared" si="8"/>
        <v>2</v>
      </c>
      <c r="AB4" s="33">
        <f t="shared" si="9"/>
        <v>14.568201724066995</v>
      </c>
      <c r="AC4" s="11">
        <f t="shared" si="10"/>
        <v>56</v>
      </c>
      <c r="AD4" s="4"/>
      <c r="AE4" s="4">
        <f t="shared" si="11"/>
        <v>2</v>
      </c>
      <c r="AF4" s="4" t="s">
        <v>34</v>
      </c>
    </row>
    <row r="5" spans="1:32" ht="27.6" x14ac:dyDescent="0.25">
      <c r="A5" s="4">
        <v>4</v>
      </c>
      <c r="B5" s="7" t="s">
        <v>44</v>
      </c>
      <c r="C5" s="8" t="s">
        <v>45</v>
      </c>
      <c r="D5" s="8" t="s">
        <v>46</v>
      </c>
      <c r="E5" s="9">
        <v>42.870959999999997</v>
      </c>
      <c r="F5" s="9">
        <v>76.105148</v>
      </c>
      <c r="G5" s="7">
        <v>1.1000000000000001</v>
      </c>
      <c r="H5" s="9" t="s">
        <v>47</v>
      </c>
      <c r="I5" s="7">
        <v>4</v>
      </c>
      <c r="J5" s="7" t="s">
        <v>39</v>
      </c>
      <c r="K5" s="7">
        <v>8.02</v>
      </c>
      <c r="L5" s="7" t="s">
        <v>33</v>
      </c>
      <c r="M5" s="7"/>
      <c r="N5" s="6" t="s">
        <v>48</v>
      </c>
      <c r="O5" s="27" t="s">
        <v>49</v>
      </c>
      <c r="P5" s="6"/>
      <c r="Q5" s="10">
        <f>IF(ISBLANK(Таблица_CZ_TMF2[[#This Row],[Used capacity million m³]]),"",LOG10(Таблица_CZ_TMF2[[#This Row],[Used capacity million m³]]*1000000))</f>
        <v>6.0413926851582254</v>
      </c>
      <c r="R5" s="6">
        <f t="shared" si="0"/>
        <v>4</v>
      </c>
      <c r="S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5" s="6">
        <f t="shared" si="1"/>
        <v>1</v>
      </c>
      <c r="U5" s="6">
        <f t="shared" si="2"/>
        <v>1</v>
      </c>
      <c r="V5" s="6">
        <f t="shared" si="3"/>
        <v>1</v>
      </c>
      <c r="W5" s="31">
        <f t="shared" si="4"/>
        <v>13.041392685158225</v>
      </c>
      <c r="X5" s="7">
        <f t="shared" si="5"/>
        <v>43</v>
      </c>
      <c r="Y5" s="10">
        <f t="shared" si="6"/>
        <v>1</v>
      </c>
      <c r="Z5" s="10">
        <f t="shared" si="7"/>
        <v>2</v>
      </c>
      <c r="AA5" s="10">
        <f t="shared" si="8"/>
        <v>3</v>
      </c>
      <c r="AB5" s="33">
        <f t="shared" si="9"/>
        <v>16.041392685158225</v>
      </c>
      <c r="AC5" s="11">
        <f t="shared" si="10"/>
        <v>54</v>
      </c>
      <c r="AD5" s="4"/>
      <c r="AE5" s="4">
        <f t="shared" si="11"/>
        <v>2</v>
      </c>
      <c r="AF5" s="4" t="s">
        <v>34</v>
      </c>
    </row>
    <row r="6" spans="1:32" ht="27.6" x14ac:dyDescent="0.25">
      <c r="A6" s="4">
        <v>5</v>
      </c>
      <c r="B6" s="7" t="s">
        <v>50</v>
      </c>
      <c r="C6" s="8" t="s">
        <v>51</v>
      </c>
      <c r="D6" s="8" t="s">
        <v>52</v>
      </c>
      <c r="E6" s="9">
        <v>42.700662999999999</v>
      </c>
      <c r="F6" s="9">
        <v>75.585140999999993</v>
      </c>
      <c r="G6" s="7">
        <v>3.74</v>
      </c>
      <c r="H6" s="9" t="s">
        <v>53</v>
      </c>
      <c r="I6" s="7">
        <v>4</v>
      </c>
      <c r="J6" s="7" t="s">
        <v>39</v>
      </c>
      <c r="K6" s="7">
        <v>8.02</v>
      </c>
      <c r="L6" s="7" t="s">
        <v>33</v>
      </c>
      <c r="M6" s="7"/>
      <c r="N6" s="6" t="s">
        <v>54</v>
      </c>
      <c r="O6" s="28" t="s">
        <v>55</v>
      </c>
      <c r="P6" s="6">
        <v>4222</v>
      </c>
      <c r="Q6" s="12">
        <f>IF(ISBLANK(Таблица_CZ_TMF2[[#This Row],[Used capacity million m³]]),"",LOG10(Таблица_CZ_TMF2[[#This Row],[Used capacity million m³]]*1000000))</f>
        <v>6.5728716022004798</v>
      </c>
      <c r="R6" s="13">
        <f t="shared" si="0"/>
        <v>4</v>
      </c>
      <c r="S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6" s="13">
        <f t="shared" si="1"/>
        <v>1</v>
      </c>
      <c r="U6" s="13">
        <f t="shared" si="2"/>
        <v>1</v>
      </c>
      <c r="V6" s="13">
        <f t="shared" si="3"/>
        <v>1</v>
      </c>
      <c r="W6" s="31">
        <f t="shared" si="4"/>
        <v>13.572871602200479</v>
      </c>
      <c r="X6" s="7">
        <f t="shared" si="5"/>
        <v>37</v>
      </c>
      <c r="Y6" s="10">
        <f t="shared" si="6"/>
        <v>4</v>
      </c>
      <c r="Z6" s="10">
        <f t="shared" si="7"/>
        <v>3</v>
      </c>
      <c r="AA6" s="10">
        <f t="shared" si="8"/>
        <v>7</v>
      </c>
      <c r="AB6" s="33">
        <f t="shared" si="9"/>
        <v>20.572871602200479</v>
      </c>
      <c r="AC6" s="11">
        <f t="shared" si="10"/>
        <v>32</v>
      </c>
      <c r="AD6" s="4"/>
      <c r="AE6" s="4">
        <f t="shared" si="11"/>
        <v>2</v>
      </c>
      <c r="AF6" s="4" t="s">
        <v>56</v>
      </c>
    </row>
    <row r="7" spans="1:32" ht="27.6" x14ac:dyDescent="0.25">
      <c r="A7" s="4">
        <v>6</v>
      </c>
      <c r="B7" s="7" t="s">
        <v>57</v>
      </c>
      <c r="C7" s="8" t="s">
        <v>58</v>
      </c>
      <c r="D7" s="14" t="s">
        <v>59</v>
      </c>
      <c r="E7" s="9">
        <v>42.144900999999997</v>
      </c>
      <c r="F7" s="9">
        <v>77.229297000000003</v>
      </c>
      <c r="G7" s="7">
        <v>0.4</v>
      </c>
      <c r="H7" s="9" t="s">
        <v>60</v>
      </c>
      <c r="I7" s="7">
        <v>4</v>
      </c>
      <c r="J7" s="7" t="s">
        <v>61</v>
      </c>
      <c r="K7" s="7">
        <v>4.51</v>
      </c>
      <c r="L7" s="7" t="s">
        <v>33</v>
      </c>
      <c r="M7" s="7"/>
      <c r="N7" s="6" t="s">
        <v>62</v>
      </c>
      <c r="O7" s="27" t="s">
        <v>49</v>
      </c>
      <c r="P7" s="6">
        <v>0</v>
      </c>
      <c r="Q7" s="10">
        <f>IF(ISBLANK(Таблица_CZ_TMF2[[#This Row],[Used capacity million m³]]),"",LOG10(Таблица_CZ_TMF2[[#This Row],[Used capacity million m³]]*1000000))</f>
        <v>5.6020599913279625</v>
      </c>
      <c r="R7" s="6">
        <f t="shared" si="0"/>
        <v>4</v>
      </c>
      <c r="S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7" s="6">
        <f t="shared" si="1"/>
        <v>1</v>
      </c>
      <c r="U7" s="6">
        <f t="shared" si="2"/>
        <v>1</v>
      </c>
      <c r="V7" s="6">
        <f t="shared" si="3"/>
        <v>1</v>
      </c>
      <c r="W7" s="31">
        <f t="shared" si="4"/>
        <v>14.602059991327963</v>
      </c>
      <c r="X7" s="7">
        <f t="shared" si="5"/>
        <v>16</v>
      </c>
      <c r="Y7" s="10">
        <f t="shared" si="6"/>
        <v>1</v>
      </c>
      <c r="Z7" s="10">
        <f t="shared" si="7"/>
        <v>2</v>
      </c>
      <c r="AA7" s="10">
        <f t="shared" si="8"/>
        <v>3</v>
      </c>
      <c r="AB7" s="33">
        <f t="shared" si="9"/>
        <v>17.602059991327963</v>
      </c>
      <c r="AC7" s="11">
        <f t="shared" si="10"/>
        <v>47</v>
      </c>
      <c r="AD7" s="4"/>
      <c r="AE7" s="4">
        <f t="shared" si="11"/>
        <v>2</v>
      </c>
      <c r="AF7" s="4" t="s">
        <v>34</v>
      </c>
    </row>
    <row r="8" spans="1:32" x14ac:dyDescent="0.25">
      <c r="A8" s="4">
        <v>7</v>
      </c>
      <c r="B8" s="7" t="s">
        <v>63</v>
      </c>
      <c r="C8" s="8" t="s">
        <v>64</v>
      </c>
      <c r="D8" s="14" t="s">
        <v>65</v>
      </c>
      <c r="E8" s="9">
        <v>41.86</v>
      </c>
      <c r="F8" s="9">
        <v>78.20796</v>
      </c>
      <c r="G8" s="7">
        <v>68.2</v>
      </c>
      <c r="H8" s="9" t="s">
        <v>246</v>
      </c>
      <c r="I8" s="7">
        <v>3</v>
      </c>
      <c r="J8" s="7" t="s">
        <v>32</v>
      </c>
      <c r="K8" s="7">
        <v>4.42</v>
      </c>
      <c r="L8" s="7" t="s">
        <v>66</v>
      </c>
      <c r="M8" s="7"/>
      <c r="N8" s="6" t="s">
        <v>67</v>
      </c>
      <c r="O8" s="27">
        <v>2</v>
      </c>
      <c r="P8" s="6">
        <v>345</v>
      </c>
      <c r="Q8" s="12">
        <f>IF(ISBLANK(Таблица_CZ_TMF2[[#This Row],[Used capacity million m³]]),"",LOG10(Таблица_CZ_TMF2[[#This Row],[Used capacity million m³]]*1000000))</f>
        <v>7.8337843746564788</v>
      </c>
      <c r="R8" s="13">
        <f t="shared" si="0"/>
        <v>3</v>
      </c>
      <c r="S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8" s="13">
        <f t="shared" si="1"/>
        <v>1</v>
      </c>
      <c r="U8" s="13">
        <f t="shared" si="2"/>
        <v>0</v>
      </c>
      <c r="V8" s="13">
        <f t="shared" si="3"/>
        <v>1</v>
      </c>
      <c r="W8" s="31">
        <f t="shared" si="4"/>
        <v>15.833784374656478</v>
      </c>
      <c r="X8" s="7">
        <f t="shared" si="5"/>
        <v>5</v>
      </c>
      <c r="Y8" s="10">
        <f t="shared" si="6"/>
        <v>3</v>
      </c>
      <c r="Z8" s="10">
        <f t="shared" si="7"/>
        <v>4</v>
      </c>
      <c r="AA8" s="10">
        <f t="shared" si="8"/>
        <v>7</v>
      </c>
      <c r="AB8" s="33">
        <f t="shared" si="9"/>
        <v>22.833784374656478</v>
      </c>
      <c r="AC8" s="11">
        <f t="shared" si="10"/>
        <v>5</v>
      </c>
      <c r="AD8" s="4"/>
      <c r="AE8" s="4">
        <f t="shared" si="11"/>
        <v>1</v>
      </c>
      <c r="AF8" s="4" t="s">
        <v>68</v>
      </c>
    </row>
    <row r="9" spans="1:32" x14ac:dyDescent="0.25">
      <c r="A9" s="4">
        <v>8</v>
      </c>
      <c r="B9" s="7" t="s">
        <v>69</v>
      </c>
      <c r="C9" s="8" t="s">
        <v>70</v>
      </c>
      <c r="D9" s="8" t="s">
        <v>71</v>
      </c>
      <c r="E9" s="9">
        <v>42.026201999999998</v>
      </c>
      <c r="F9" s="9">
        <v>79.105230000000006</v>
      </c>
      <c r="G9" s="7">
        <v>3.5999999999999997E-2</v>
      </c>
      <c r="H9" s="9" t="s">
        <v>72</v>
      </c>
      <c r="I9" s="7">
        <v>3</v>
      </c>
      <c r="J9" s="7" t="s">
        <v>32</v>
      </c>
      <c r="K9" s="7">
        <v>7.01</v>
      </c>
      <c r="L9" s="7" t="s">
        <v>66</v>
      </c>
      <c r="M9" s="7"/>
      <c r="N9" s="6" t="s">
        <v>62</v>
      </c>
      <c r="O9" s="27" t="s">
        <v>49</v>
      </c>
      <c r="P9" s="6">
        <v>3353</v>
      </c>
      <c r="Q9" s="12">
        <f>IF(ISBLANK(Таблица_CZ_TMF2[[#This Row],[Used capacity million m³]]),"",LOG10(Таблица_CZ_TMF2[[#This Row],[Used capacity million m³]]*1000000))</f>
        <v>4.5563025007672868</v>
      </c>
      <c r="R9" s="6">
        <f t="shared" si="0"/>
        <v>3</v>
      </c>
      <c r="S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9" s="13">
        <f t="shared" si="1"/>
        <v>1</v>
      </c>
      <c r="U9" s="13">
        <f t="shared" si="2"/>
        <v>0</v>
      </c>
      <c r="V9" s="13">
        <f t="shared" si="3"/>
        <v>1</v>
      </c>
      <c r="W9" s="31">
        <f t="shared" si="4"/>
        <v>12.556302500767288</v>
      </c>
      <c r="X9" s="7">
        <f t="shared" si="5"/>
        <v>50</v>
      </c>
      <c r="Y9" s="10">
        <f t="shared" si="6"/>
        <v>4</v>
      </c>
      <c r="Z9" s="10">
        <f t="shared" si="7"/>
        <v>2</v>
      </c>
      <c r="AA9" s="10">
        <f t="shared" si="8"/>
        <v>6</v>
      </c>
      <c r="AB9" s="33">
        <f t="shared" si="9"/>
        <v>18.556302500767288</v>
      </c>
      <c r="AC9" s="11">
        <f t="shared" si="10"/>
        <v>41</v>
      </c>
      <c r="AD9" s="4"/>
      <c r="AE9" s="4">
        <f t="shared" si="11"/>
        <v>1</v>
      </c>
      <c r="AF9" s="4" t="s">
        <v>34</v>
      </c>
    </row>
    <row r="10" spans="1:32" x14ac:dyDescent="0.25">
      <c r="A10" s="4">
        <v>9</v>
      </c>
      <c r="B10" s="7" t="s">
        <v>73</v>
      </c>
      <c r="C10" s="8" t="s">
        <v>74</v>
      </c>
      <c r="D10" s="8" t="s">
        <v>75</v>
      </c>
      <c r="E10" s="9">
        <v>41.655555</v>
      </c>
      <c r="F10" s="9">
        <v>74.470620999999994</v>
      </c>
      <c r="G10" s="7">
        <v>0.45</v>
      </c>
      <c r="H10" s="9" t="s">
        <v>60</v>
      </c>
      <c r="I10" s="7">
        <v>4</v>
      </c>
      <c r="J10" s="7" t="s">
        <v>61</v>
      </c>
      <c r="K10" s="7">
        <v>5.9</v>
      </c>
      <c r="L10" s="7" t="s">
        <v>33</v>
      </c>
      <c r="M10" s="7"/>
      <c r="N10" s="6" t="s">
        <v>62</v>
      </c>
      <c r="O10" s="27" t="s">
        <v>49</v>
      </c>
      <c r="P10" s="6">
        <v>0</v>
      </c>
      <c r="Q10" s="10">
        <f>IF(ISBLANK(Таблица_CZ_TMF2[[#This Row],[Used capacity million m³]]),"",LOG10(Таблица_CZ_TMF2[[#This Row],[Used capacity million m³]]*1000000))</f>
        <v>5.653212513775344</v>
      </c>
      <c r="R10" s="6">
        <f t="shared" si="0"/>
        <v>4</v>
      </c>
      <c r="S1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0" s="6">
        <f t="shared" si="1"/>
        <v>1</v>
      </c>
      <c r="U10" s="6">
        <f t="shared" si="2"/>
        <v>1</v>
      </c>
      <c r="V10" s="6">
        <f t="shared" si="3"/>
        <v>1</v>
      </c>
      <c r="W10" s="31">
        <f t="shared" si="4"/>
        <v>14.653212513775344</v>
      </c>
      <c r="X10" s="7">
        <f t="shared" si="5"/>
        <v>14</v>
      </c>
      <c r="Y10" s="10">
        <f t="shared" si="6"/>
        <v>1</v>
      </c>
      <c r="Z10" s="10">
        <f t="shared" si="7"/>
        <v>2</v>
      </c>
      <c r="AA10" s="10">
        <f t="shared" si="8"/>
        <v>3</v>
      </c>
      <c r="AB10" s="33">
        <f t="shared" si="9"/>
        <v>17.653212513775344</v>
      </c>
      <c r="AC10" s="11">
        <f t="shared" si="10"/>
        <v>46</v>
      </c>
      <c r="AD10" s="4"/>
      <c r="AE10" s="4">
        <f t="shared" si="11"/>
        <v>2</v>
      </c>
      <c r="AF10" s="4" t="s">
        <v>34</v>
      </c>
    </row>
    <row r="11" spans="1:32" x14ac:dyDescent="0.25">
      <c r="A11" s="4">
        <v>10</v>
      </c>
      <c r="B11" s="7" t="s">
        <v>76</v>
      </c>
      <c r="C11" s="8" t="s">
        <v>77</v>
      </c>
      <c r="D11" s="8" t="s">
        <v>75</v>
      </c>
      <c r="E11" s="9">
        <v>41.687638</v>
      </c>
      <c r="F11" s="9">
        <v>74.327826000000002</v>
      </c>
      <c r="G11" s="7">
        <v>0.39500000000000002</v>
      </c>
      <c r="H11" s="9" t="s">
        <v>60</v>
      </c>
      <c r="I11" s="7">
        <v>4</v>
      </c>
      <c r="J11" s="7" t="s">
        <v>61</v>
      </c>
      <c r="K11" s="7">
        <v>5.95</v>
      </c>
      <c r="L11" s="7" t="s">
        <v>33</v>
      </c>
      <c r="M11" s="7"/>
      <c r="N11" s="6" t="s">
        <v>78</v>
      </c>
      <c r="O11" s="28" t="s">
        <v>55</v>
      </c>
      <c r="P11" s="6">
        <v>0</v>
      </c>
      <c r="Q11" s="12">
        <f>IF(ISBLANK(Таблица_CZ_TMF2[[#This Row],[Used capacity million m³]]),"",LOG10(Таблица_CZ_TMF2[[#This Row],[Used capacity million m³]]*1000000))</f>
        <v>5.5965970956264606</v>
      </c>
      <c r="R11" s="13">
        <f t="shared" si="0"/>
        <v>4</v>
      </c>
      <c r="S1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31">
        <f t="shared" si="4"/>
        <v>14.596597095626461</v>
      </c>
      <c r="X11" s="7">
        <f t="shared" si="5"/>
        <v>17</v>
      </c>
      <c r="Y11" s="10">
        <f t="shared" si="6"/>
        <v>1</v>
      </c>
      <c r="Z11" s="10">
        <f t="shared" si="7"/>
        <v>3</v>
      </c>
      <c r="AA11" s="10">
        <f t="shared" si="8"/>
        <v>4</v>
      </c>
      <c r="AB11" s="33">
        <f t="shared" si="9"/>
        <v>18.596597095626461</v>
      </c>
      <c r="AC11" s="11">
        <f t="shared" si="10"/>
        <v>40</v>
      </c>
      <c r="AD11" s="4"/>
      <c r="AE11" s="4">
        <f t="shared" si="11"/>
        <v>2</v>
      </c>
      <c r="AF11" s="4" t="s">
        <v>34</v>
      </c>
    </row>
    <row r="12" spans="1:32" x14ac:dyDescent="0.25">
      <c r="A12" s="4">
        <v>11</v>
      </c>
      <c r="B12" s="7" t="s">
        <v>79</v>
      </c>
      <c r="C12" s="8" t="s">
        <v>80</v>
      </c>
      <c r="D12" s="8" t="s">
        <v>75</v>
      </c>
      <c r="E12" s="9">
        <v>41.690767999999998</v>
      </c>
      <c r="F12" s="9">
        <v>74.286664000000002</v>
      </c>
      <c r="G12" s="5">
        <v>9.8000000000000004E-2</v>
      </c>
      <c r="H12" s="9" t="s">
        <v>60</v>
      </c>
      <c r="I12" s="7">
        <v>4</v>
      </c>
      <c r="J12" s="7" t="s">
        <v>61</v>
      </c>
      <c r="K12" s="7">
        <v>5.95</v>
      </c>
      <c r="L12" s="7" t="s">
        <v>66</v>
      </c>
      <c r="M12" s="7"/>
      <c r="N12" s="6" t="s">
        <v>81</v>
      </c>
      <c r="O12" s="6" t="s">
        <v>55</v>
      </c>
      <c r="P12" s="6">
        <v>0</v>
      </c>
      <c r="Q12" s="12">
        <f>IF(ISBLANK(Таблица_CZ_TMF2[[#This Row],[Used capacity million m³]]),"",LOG10(Таблица_CZ_TMF2[[#This Row],[Used capacity million m³]]*1000000))</f>
        <v>4.9912260756924951</v>
      </c>
      <c r="R12" s="6">
        <f t="shared" si="0"/>
        <v>4</v>
      </c>
      <c r="S1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2" s="13">
        <f t="shared" si="1"/>
        <v>1</v>
      </c>
      <c r="U12" s="13">
        <f t="shared" si="2"/>
        <v>0</v>
      </c>
      <c r="V12" s="13">
        <f t="shared" si="3"/>
        <v>1</v>
      </c>
      <c r="W12" s="31">
        <f t="shared" si="4"/>
        <v>12.991226075692495</v>
      </c>
      <c r="X12" s="7">
        <f t="shared" si="5"/>
        <v>44</v>
      </c>
      <c r="Y12" s="10">
        <f t="shared" si="6"/>
        <v>1</v>
      </c>
      <c r="Z12" s="10">
        <f t="shared" si="7"/>
        <v>3</v>
      </c>
      <c r="AA12" s="10">
        <f t="shared" si="8"/>
        <v>4</v>
      </c>
      <c r="AB12" s="33">
        <f t="shared" si="9"/>
        <v>16.991226075692495</v>
      </c>
      <c r="AC12" s="11">
        <f t="shared" si="10"/>
        <v>51</v>
      </c>
      <c r="AD12" s="4"/>
      <c r="AE12" s="4">
        <f t="shared" si="11"/>
        <v>1</v>
      </c>
      <c r="AF12" s="4" t="s">
        <v>34</v>
      </c>
    </row>
    <row r="13" spans="1:32" x14ac:dyDescent="0.25">
      <c r="A13" s="4">
        <v>12</v>
      </c>
      <c r="B13" s="7" t="s">
        <v>82</v>
      </c>
      <c r="C13" s="8" t="s">
        <v>83</v>
      </c>
      <c r="D13" s="8" t="s">
        <v>75</v>
      </c>
      <c r="E13" s="9">
        <v>41.680404000000003</v>
      </c>
      <c r="F13" s="9">
        <v>74.282512999999994</v>
      </c>
      <c r="G13" s="7">
        <v>0.19700000000000001</v>
      </c>
      <c r="H13" s="9" t="s">
        <v>60</v>
      </c>
      <c r="I13" s="7">
        <v>4</v>
      </c>
      <c r="J13" s="7" t="s">
        <v>61</v>
      </c>
      <c r="K13" s="7">
        <v>5.95</v>
      </c>
      <c r="L13" s="7" t="s">
        <v>66</v>
      </c>
      <c r="M13" s="7"/>
      <c r="N13" s="6" t="s">
        <v>84</v>
      </c>
      <c r="O13" s="28" t="s">
        <v>55</v>
      </c>
      <c r="P13" s="6">
        <v>22853</v>
      </c>
      <c r="Q13" s="10">
        <f>IF(ISBLANK(Таблица_CZ_TMF2[[#This Row],[Used capacity million m³]]),"",LOG10(Таблица_CZ_TMF2[[#This Row],[Used capacity million m³]]*1000000))</f>
        <v>5.2944662261615933</v>
      </c>
      <c r="R13" s="6">
        <f t="shared" si="0"/>
        <v>4</v>
      </c>
      <c r="S1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3" s="6">
        <f t="shared" si="1"/>
        <v>1</v>
      </c>
      <c r="U13" s="6">
        <f t="shared" si="2"/>
        <v>0</v>
      </c>
      <c r="V13" s="6">
        <f t="shared" si="3"/>
        <v>1</v>
      </c>
      <c r="W13" s="31">
        <f t="shared" si="4"/>
        <v>13.294466226161592</v>
      </c>
      <c r="X13" s="7">
        <f t="shared" si="5"/>
        <v>42</v>
      </c>
      <c r="Y13" s="10">
        <f t="shared" si="6"/>
        <v>5</v>
      </c>
      <c r="Z13" s="10">
        <f t="shared" si="7"/>
        <v>3</v>
      </c>
      <c r="AA13" s="10">
        <f t="shared" si="8"/>
        <v>8</v>
      </c>
      <c r="AB13" s="33">
        <f t="shared" si="9"/>
        <v>21.294466226161592</v>
      </c>
      <c r="AC13" s="11">
        <f t="shared" si="10"/>
        <v>26</v>
      </c>
      <c r="AD13" s="4"/>
      <c r="AE13" s="4">
        <f t="shared" si="11"/>
        <v>1</v>
      </c>
      <c r="AF13" s="4" t="s">
        <v>56</v>
      </c>
    </row>
    <row r="14" spans="1:32" ht="27.6" x14ac:dyDescent="0.25">
      <c r="A14" s="4">
        <v>13</v>
      </c>
      <c r="B14" s="7" t="s">
        <v>85</v>
      </c>
      <c r="C14" s="8" t="s">
        <v>86</v>
      </c>
      <c r="D14" s="8" t="s">
        <v>87</v>
      </c>
      <c r="E14" s="9">
        <v>41.238399999999999</v>
      </c>
      <c r="F14" s="9">
        <v>72.443707000000003</v>
      </c>
      <c r="G14" s="7">
        <v>8.4000000000000005E-2</v>
      </c>
      <c r="H14" s="9" t="s">
        <v>60</v>
      </c>
      <c r="I14" s="7">
        <v>4</v>
      </c>
      <c r="J14" s="7" t="s">
        <v>61</v>
      </c>
      <c r="K14" s="7">
        <v>7.8</v>
      </c>
      <c r="L14" s="7" t="s">
        <v>33</v>
      </c>
      <c r="M14" s="7"/>
      <c r="N14" s="6" t="s">
        <v>84</v>
      </c>
      <c r="O14" s="28" t="s">
        <v>55</v>
      </c>
      <c r="P14" s="6">
        <f t="shared" ref="P14:P35" si="12">22853+34756</f>
        <v>57609</v>
      </c>
      <c r="Q14" s="10">
        <f>IF(ISBLANK(Таблица_CZ_TMF2[[#This Row],[Used capacity million m³]]),"",LOG10(Таблица_CZ_TMF2[[#This Row],[Used capacity million m³]]*1000000))</f>
        <v>4.924279286061882</v>
      </c>
      <c r="R14" s="6">
        <f t="shared" si="0"/>
        <v>4</v>
      </c>
      <c r="S1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4" s="6">
        <f t="shared" si="1"/>
        <v>1</v>
      </c>
      <c r="U14" s="6">
        <f t="shared" si="2"/>
        <v>1</v>
      </c>
      <c r="V14" s="6">
        <f t="shared" si="3"/>
        <v>1</v>
      </c>
      <c r="W14" s="31">
        <f t="shared" si="4"/>
        <v>13.924279286061882</v>
      </c>
      <c r="X14" s="7">
        <f t="shared" si="5"/>
        <v>29</v>
      </c>
      <c r="Y14" s="10">
        <f t="shared" si="6"/>
        <v>5</v>
      </c>
      <c r="Z14" s="10">
        <f t="shared" si="7"/>
        <v>3</v>
      </c>
      <c r="AA14" s="10">
        <f t="shared" si="8"/>
        <v>8</v>
      </c>
      <c r="AB14" s="33">
        <f t="shared" si="9"/>
        <v>21.924279286061882</v>
      </c>
      <c r="AC14" s="11">
        <f t="shared" si="10"/>
        <v>17</v>
      </c>
      <c r="AD14" s="4"/>
      <c r="AE14" s="4">
        <f t="shared" si="11"/>
        <v>2</v>
      </c>
      <c r="AF14" s="4" t="s">
        <v>56</v>
      </c>
    </row>
    <row r="15" spans="1:32" ht="27.6" x14ac:dyDescent="0.25">
      <c r="A15" s="4">
        <v>14</v>
      </c>
      <c r="B15" s="7" t="s">
        <v>88</v>
      </c>
      <c r="C15" s="8" t="s">
        <v>89</v>
      </c>
      <c r="D15" s="8" t="s">
        <v>90</v>
      </c>
      <c r="E15" s="9">
        <v>41.304547999999997</v>
      </c>
      <c r="F15" s="9">
        <v>72.462691000000007</v>
      </c>
      <c r="G15" s="7">
        <v>6.5000000000000002E-2</v>
      </c>
      <c r="H15" s="9" t="s">
        <v>60</v>
      </c>
      <c r="I15" s="7">
        <v>4</v>
      </c>
      <c r="J15" s="7" t="s">
        <v>61</v>
      </c>
      <c r="K15" s="7">
        <v>7.82</v>
      </c>
      <c r="L15" s="7" t="s">
        <v>33</v>
      </c>
      <c r="M15" s="7"/>
      <c r="N15" s="6" t="s">
        <v>84</v>
      </c>
      <c r="O15" s="28" t="s">
        <v>55</v>
      </c>
      <c r="P15" s="6">
        <f t="shared" si="12"/>
        <v>57609</v>
      </c>
      <c r="Q15" s="12">
        <f>IF(ISBLANK(Таблица_CZ_TMF2[[#This Row],[Used capacity million m³]]),"",LOG10(Таблица_CZ_TMF2[[#This Row],[Used capacity million m³]]*1000000))</f>
        <v>4.8129133566428557</v>
      </c>
      <c r="R15" s="13">
        <f t="shared" si="0"/>
        <v>4</v>
      </c>
      <c r="S1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31">
        <f t="shared" si="4"/>
        <v>13.812913356642856</v>
      </c>
      <c r="X15" s="7">
        <f t="shared" si="5"/>
        <v>31</v>
      </c>
      <c r="Y15" s="10">
        <f t="shared" si="6"/>
        <v>5</v>
      </c>
      <c r="Z15" s="10">
        <f t="shared" si="7"/>
        <v>3</v>
      </c>
      <c r="AA15" s="10">
        <f t="shared" si="8"/>
        <v>8</v>
      </c>
      <c r="AB15" s="33">
        <f t="shared" si="9"/>
        <v>21.812913356642856</v>
      </c>
      <c r="AC15" s="11">
        <f t="shared" si="10"/>
        <v>20</v>
      </c>
      <c r="AD15" s="4"/>
      <c r="AE15" s="4">
        <f t="shared" si="11"/>
        <v>2</v>
      </c>
      <c r="AF15" s="4" t="s">
        <v>56</v>
      </c>
    </row>
    <row r="16" spans="1:32" ht="27.6" x14ac:dyDescent="0.25">
      <c r="A16" s="4">
        <v>15</v>
      </c>
      <c r="B16" s="7" t="s">
        <v>91</v>
      </c>
      <c r="C16" s="8" t="s">
        <v>92</v>
      </c>
      <c r="D16" s="8" t="s">
        <v>90</v>
      </c>
      <c r="E16" s="9">
        <v>41.303888000000001</v>
      </c>
      <c r="F16" s="9">
        <v>72.452753000000001</v>
      </c>
      <c r="G16" s="7">
        <v>0.11</v>
      </c>
      <c r="H16" s="9" t="s">
        <v>60</v>
      </c>
      <c r="I16" s="7">
        <v>4</v>
      </c>
      <c r="J16" s="7" t="s">
        <v>61</v>
      </c>
      <c r="K16" s="7">
        <v>7.82</v>
      </c>
      <c r="L16" s="7" t="s">
        <v>33</v>
      </c>
      <c r="M16" s="7"/>
      <c r="N16" s="6" t="s">
        <v>84</v>
      </c>
      <c r="O16" s="28" t="s">
        <v>55</v>
      </c>
      <c r="P16" s="6">
        <f t="shared" si="12"/>
        <v>57609</v>
      </c>
      <c r="Q16" s="12">
        <f>IF(ISBLANK(Таблица_CZ_TMF2[[#This Row],[Used capacity million m³]]),"",LOG10(Таблица_CZ_TMF2[[#This Row],[Used capacity million m³]]*1000000))</f>
        <v>5.0413926851582254</v>
      </c>
      <c r="R16" s="6">
        <f t="shared" si="0"/>
        <v>4</v>
      </c>
      <c r="S1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6" s="13">
        <f t="shared" si="1"/>
        <v>1</v>
      </c>
      <c r="U16" s="13">
        <f t="shared" si="2"/>
        <v>1</v>
      </c>
      <c r="V16" s="13">
        <f t="shared" si="3"/>
        <v>1</v>
      </c>
      <c r="W16" s="31">
        <f t="shared" si="4"/>
        <v>14.041392685158225</v>
      </c>
      <c r="X16" s="7">
        <f t="shared" si="5"/>
        <v>24</v>
      </c>
      <c r="Y16" s="10">
        <f t="shared" si="6"/>
        <v>5</v>
      </c>
      <c r="Z16" s="10">
        <f t="shared" si="7"/>
        <v>3</v>
      </c>
      <c r="AA16" s="10">
        <f t="shared" si="8"/>
        <v>8</v>
      </c>
      <c r="AB16" s="33">
        <f t="shared" si="9"/>
        <v>22.041392685158225</v>
      </c>
      <c r="AC16" s="11">
        <f t="shared" si="10"/>
        <v>14</v>
      </c>
      <c r="AD16" s="4"/>
      <c r="AE16" s="4">
        <f t="shared" si="11"/>
        <v>2</v>
      </c>
      <c r="AF16" s="4" t="s">
        <v>68</v>
      </c>
    </row>
    <row r="17" spans="1:32" ht="27.6" x14ac:dyDescent="0.25">
      <c r="A17" s="4">
        <v>16</v>
      </c>
      <c r="B17" s="7" t="s">
        <v>93</v>
      </c>
      <c r="C17" s="8" t="s">
        <v>94</v>
      </c>
      <c r="D17" s="8" t="s">
        <v>95</v>
      </c>
      <c r="E17" s="9">
        <v>41.304366000000002</v>
      </c>
      <c r="F17" s="9">
        <v>72.454362000000003</v>
      </c>
      <c r="G17" s="7">
        <v>0.115</v>
      </c>
      <c r="H17" s="9" t="s">
        <v>60</v>
      </c>
      <c r="I17" s="7">
        <v>4</v>
      </c>
      <c r="J17" s="7" t="s">
        <v>61</v>
      </c>
      <c r="K17" s="7">
        <v>7.82</v>
      </c>
      <c r="L17" s="7" t="s">
        <v>33</v>
      </c>
      <c r="M17" s="7"/>
      <c r="N17" s="6" t="s">
        <v>84</v>
      </c>
      <c r="O17" s="28" t="s">
        <v>55</v>
      </c>
      <c r="P17" s="6">
        <f t="shared" si="12"/>
        <v>57609</v>
      </c>
      <c r="Q17" s="12">
        <f>IF(ISBLANK(Таблица_CZ_TMF2[[#This Row],[Used capacity million m³]]),"",LOG10(Таблица_CZ_TMF2[[#This Row],[Used capacity million m³]]*1000000))</f>
        <v>5.0606978403536118</v>
      </c>
      <c r="R17" s="6">
        <f t="shared" si="0"/>
        <v>4</v>
      </c>
      <c r="S1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7" s="13">
        <f t="shared" si="1"/>
        <v>1</v>
      </c>
      <c r="U17" s="13">
        <f t="shared" si="2"/>
        <v>1</v>
      </c>
      <c r="V17" s="13">
        <f t="shared" si="3"/>
        <v>1</v>
      </c>
      <c r="W17" s="31">
        <f t="shared" si="4"/>
        <v>14.060697840353612</v>
      </c>
      <c r="X17" s="7">
        <f t="shared" si="5"/>
        <v>21</v>
      </c>
      <c r="Y17" s="10">
        <f t="shared" si="6"/>
        <v>5</v>
      </c>
      <c r="Z17" s="10">
        <f t="shared" si="7"/>
        <v>3</v>
      </c>
      <c r="AA17" s="10">
        <f t="shared" si="8"/>
        <v>8</v>
      </c>
      <c r="AB17" s="33">
        <f t="shared" si="9"/>
        <v>22.060697840353612</v>
      </c>
      <c r="AC17" s="11">
        <f t="shared" si="10"/>
        <v>11</v>
      </c>
      <c r="AD17" s="4"/>
      <c r="AE17" s="4">
        <f t="shared" si="11"/>
        <v>2</v>
      </c>
      <c r="AF17" s="4" t="s">
        <v>68</v>
      </c>
    </row>
    <row r="18" spans="1:32" ht="27.6" x14ac:dyDescent="0.25">
      <c r="A18" s="4">
        <v>17</v>
      </c>
      <c r="B18" s="7" t="s">
        <v>96</v>
      </c>
      <c r="C18" s="8" t="s">
        <v>97</v>
      </c>
      <c r="D18" s="8" t="s">
        <v>95</v>
      </c>
      <c r="E18" s="9">
        <v>41.303617000000003</v>
      </c>
      <c r="F18" s="9">
        <v>72.456667999999993</v>
      </c>
      <c r="G18" s="7">
        <v>0.111</v>
      </c>
      <c r="H18" s="9" t="s">
        <v>60</v>
      </c>
      <c r="I18" s="7">
        <v>4</v>
      </c>
      <c r="J18" s="7" t="s">
        <v>61</v>
      </c>
      <c r="K18" s="7">
        <v>7.82</v>
      </c>
      <c r="L18" s="7" t="s">
        <v>33</v>
      </c>
      <c r="M18" s="7"/>
      <c r="N18" s="6" t="s">
        <v>84</v>
      </c>
      <c r="O18" s="28" t="s">
        <v>55</v>
      </c>
      <c r="P18" s="6">
        <f t="shared" si="12"/>
        <v>57609</v>
      </c>
      <c r="Q18" s="12">
        <f>IF(ISBLANK(Таблица_CZ_TMF2[[#This Row],[Used capacity million m³]]),"",LOG10(Таблица_CZ_TMF2[[#This Row],[Used capacity million m³]]*1000000))</f>
        <v>5.0453229787866576</v>
      </c>
      <c r="R18" s="13">
        <f t="shared" si="0"/>
        <v>4</v>
      </c>
      <c r="S1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8" s="13">
        <f t="shared" si="1"/>
        <v>1</v>
      </c>
      <c r="U18" s="13">
        <f t="shared" si="2"/>
        <v>1</v>
      </c>
      <c r="V18" s="13">
        <f t="shared" si="3"/>
        <v>1</v>
      </c>
      <c r="W18" s="31">
        <f t="shared" si="4"/>
        <v>14.045322978786658</v>
      </c>
      <c r="X18" s="7">
        <f t="shared" si="5"/>
        <v>23</v>
      </c>
      <c r="Y18" s="10">
        <f t="shared" si="6"/>
        <v>5</v>
      </c>
      <c r="Z18" s="10">
        <f t="shared" si="7"/>
        <v>3</v>
      </c>
      <c r="AA18" s="10">
        <f t="shared" si="8"/>
        <v>8</v>
      </c>
      <c r="AB18" s="33">
        <f t="shared" si="9"/>
        <v>22.045322978786658</v>
      </c>
      <c r="AC18" s="11">
        <f t="shared" si="10"/>
        <v>13</v>
      </c>
      <c r="AD18" s="4"/>
      <c r="AE18" s="4">
        <f t="shared" si="11"/>
        <v>2</v>
      </c>
      <c r="AF18" s="4" t="s">
        <v>68</v>
      </c>
    </row>
    <row r="19" spans="1:32" ht="27.6" x14ac:dyDescent="0.25">
      <c r="A19" s="4">
        <v>18</v>
      </c>
      <c r="B19" s="7" t="s">
        <v>98</v>
      </c>
      <c r="C19" s="8" t="s">
        <v>99</v>
      </c>
      <c r="D19" s="8" t="s">
        <v>95</v>
      </c>
      <c r="E19" s="9">
        <v>41.303398000000001</v>
      </c>
      <c r="F19" s="9">
        <v>72.457747999999995</v>
      </c>
      <c r="G19" s="7">
        <v>0.24399999999999999</v>
      </c>
      <c r="H19" s="9" t="s">
        <v>60</v>
      </c>
      <c r="I19" s="7">
        <v>4</v>
      </c>
      <c r="J19" s="7" t="s">
        <v>61</v>
      </c>
      <c r="K19" s="7">
        <v>7.82</v>
      </c>
      <c r="L19" s="7" t="s">
        <v>33</v>
      </c>
      <c r="M19" s="7"/>
      <c r="N19" s="6" t="s">
        <v>84</v>
      </c>
      <c r="O19" s="28" t="s">
        <v>55</v>
      </c>
      <c r="P19" s="6">
        <f t="shared" si="12"/>
        <v>57609</v>
      </c>
      <c r="Q19" s="12">
        <f>IF(ISBLANK(Таблица_CZ_TMF2[[#This Row],[Used capacity million m³]]),"",LOG10(Таблица_CZ_TMF2[[#This Row],[Used capacity million m³]]*1000000))</f>
        <v>5.3873898263387296</v>
      </c>
      <c r="R19" s="13">
        <f t="shared" si="0"/>
        <v>4</v>
      </c>
      <c r="S1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19" s="13">
        <f t="shared" si="1"/>
        <v>1</v>
      </c>
      <c r="U19" s="13">
        <f t="shared" si="2"/>
        <v>1</v>
      </c>
      <c r="V19" s="13">
        <f t="shared" si="3"/>
        <v>1</v>
      </c>
      <c r="W19" s="31">
        <f t="shared" si="4"/>
        <v>14.38738982633873</v>
      </c>
      <c r="X19" s="7">
        <f t="shared" si="5"/>
        <v>19</v>
      </c>
      <c r="Y19" s="10">
        <f t="shared" si="6"/>
        <v>5</v>
      </c>
      <c r="Z19" s="10">
        <f t="shared" si="7"/>
        <v>3</v>
      </c>
      <c r="AA19" s="10">
        <f t="shared" si="8"/>
        <v>8</v>
      </c>
      <c r="AB19" s="33">
        <f t="shared" si="9"/>
        <v>22.38738982633873</v>
      </c>
      <c r="AC19" s="11">
        <f t="shared" si="10"/>
        <v>8</v>
      </c>
      <c r="AD19" s="4"/>
      <c r="AE19" s="4">
        <f t="shared" si="11"/>
        <v>2</v>
      </c>
      <c r="AF19" s="4" t="s">
        <v>68</v>
      </c>
    </row>
    <row r="20" spans="1:32" x14ac:dyDescent="0.25">
      <c r="A20" s="4">
        <v>19</v>
      </c>
      <c r="B20" s="7" t="s">
        <v>100</v>
      </c>
      <c r="C20" s="8" t="s">
        <v>101</v>
      </c>
      <c r="D20" s="8" t="s">
        <v>102</v>
      </c>
      <c r="E20" s="9">
        <v>41.303398999999999</v>
      </c>
      <c r="F20" s="9">
        <v>72.459012000000001</v>
      </c>
      <c r="G20" s="7">
        <v>0.6</v>
      </c>
      <c r="H20" s="9" t="s">
        <v>60</v>
      </c>
      <c r="I20" s="7">
        <v>4</v>
      </c>
      <c r="J20" s="7" t="s">
        <v>61</v>
      </c>
      <c r="K20" s="7">
        <v>7.82</v>
      </c>
      <c r="L20" s="7" t="s">
        <v>33</v>
      </c>
      <c r="M20" s="7"/>
      <c r="N20" s="6" t="s">
        <v>84</v>
      </c>
      <c r="O20" s="28" t="s">
        <v>55</v>
      </c>
      <c r="P20" s="6">
        <f t="shared" si="12"/>
        <v>57609</v>
      </c>
      <c r="Q20" s="12">
        <f>IF(ISBLANK(Таблица_CZ_TMF2[[#This Row],[Used capacity million m³]]),"",LOG10(Таблица_CZ_TMF2[[#This Row],[Used capacity million m³]]*1000000))</f>
        <v>5.7781512503836439</v>
      </c>
      <c r="R20" s="13">
        <f t="shared" si="0"/>
        <v>4</v>
      </c>
      <c r="S2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0" s="13">
        <f t="shared" si="1"/>
        <v>1</v>
      </c>
      <c r="U20" s="13">
        <f t="shared" si="2"/>
        <v>1</v>
      </c>
      <c r="V20" s="13">
        <f t="shared" si="3"/>
        <v>1</v>
      </c>
      <c r="W20" s="31">
        <f t="shared" si="4"/>
        <v>14.778151250383644</v>
      </c>
      <c r="X20" s="7">
        <f t="shared" si="5"/>
        <v>13</v>
      </c>
      <c r="Y20" s="10">
        <f t="shared" si="6"/>
        <v>5</v>
      </c>
      <c r="Z20" s="10">
        <f t="shared" si="7"/>
        <v>3</v>
      </c>
      <c r="AA20" s="10">
        <f t="shared" si="8"/>
        <v>8</v>
      </c>
      <c r="AB20" s="33">
        <f t="shared" si="9"/>
        <v>22.778151250383644</v>
      </c>
      <c r="AC20" s="11">
        <f t="shared" si="10"/>
        <v>6</v>
      </c>
      <c r="AD20" s="4"/>
      <c r="AE20" s="4">
        <f t="shared" si="11"/>
        <v>2</v>
      </c>
      <c r="AF20" s="4" t="s">
        <v>68</v>
      </c>
    </row>
    <row r="21" spans="1:32" ht="27.6" x14ac:dyDescent="0.25">
      <c r="A21" s="4">
        <v>20</v>
      </c>
      <c r="B21" s="7" t="s">
        <v>103</v>
      </c>
      <c r="C21" s="8" t="s">
        <v>104</v>
      </c>
      <c r="D21" s="8" t="s">
        <v>95</v>
      </c>
      <c r="E21" s="9">
        <v>41.301389999999998</v>
      </c>
      <c r="F21" s="9">
        <v>72.463283000000004</v>
      </c>
      <c r="G21" s="7">
        <v>0.09</v>
      </c>
      <c r="H21" s="9" t="s">
        <v>60</v>
      </c>
      <c r="I21" s="7">
        <v>4</v>
      </c>
      <c r="J21" s="7" t="s">
        <v>61</v>
      </c>
      <c r="K21" s="7">
        <v>7.82</v>
      </c>
      <c r="L21" s="7" t="s">
        <v>33</v>
      </c>
      <c r="M21" s="7"/>
      <c r="N21" s="6" t="s">
        <v>84</v>
      </c>
      <c r="O21" s="28" t="s">
        <v>55</v>
      </c>
      <c r="P21" s="6">
        <f t="shared" si="12"/>
        <v>57609</v>
      </c>
      <c r="Q21" s="12">
        <f>IF(ISBLANK(Таблица_CZ_TMF2[[#This Row],[Used capacity million m³]]),"",LOG10(Таблица_CZ_TMF2[[#This Row],[Used capacity million m³]]*1000000))</f>
        <v>4.9542425094393252</v>
      </c>
      <c r="R21" s="13">
        <f t="shared" si="0"/>
        <v>4</v>
      </c>
      <c r="S2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1" s="13">
        <f t="shared" si="1"/>
        <v>1</v>
      </c>
      <c r="U21" s="13">
        <f t="shared" si="2"/>
        <v>1</v>
      </c>
      <c r="V21" s="13">
        <f t="shared" si="3"/>
        <v>1</v>
      </c>
      <c r="W21" s="31">
        <f t="shared" si="4"/>
        <v>13.954242509439325</v>
      </c>
      <c r="X21" s="7">
        <f t="shared" si="5"/>
        <v>28</v>
      </c>
      <c r="Y21" s="10">
        <f t="shared" si="6"/>
        <v>5</v>
      </c>
      <c r="Z21" s="10">
        <f t="shared" si="7"/>
        <v>3</v>
      </c>
      <c r="AA21" s="10">
        <f t="shared" si="8"/>
        <v>8</v>
      </c>
      <c r="AB21" s="33">
        <f t="shared" si="9"/>
        <v>21.954242509439325</v>
      </c>
      <c r="AC21" s="11">
        <f t="shared" si="10"/>
        <v>16</v>
      </c>
      <c r="AD21" s="4"/>
      <c r="AE21" s="4">
        <f t="shared" si="11"/>
        <v>2</v>
      </c>
      <c r="AF21" s="4" t="s">
        <v>68</v>
      </c>
    </row>
    <row r="22" spans="1:32" ht="27.6" x14ac:dyDescent="0.25">
      <c r="A22" s="4">
        <v>21</v>
      </c>
      <c r="B22" s="7" t="s">
        <v>105</v>
      </c>
      <c r="C22" s="8" t="s">
        <v>106</v>
      </c>
      <c r="D22" s="8" t="s">
        <v>90</v>
      </c>
      <c r="E22" s="9">
        <v>41.296978000000003</v>
      </c>
      <c r="F22" s="9">
        <v>72.465616999999995</v>
      </c>
      <c r="G22" s="7">
        <v>0.115</v>
      </c>
      <c r="H22" s="9" t="s">
        <v>60</v>
      </c>
      <c r="I22" s="7">
        <v>4</v>
      </c>
      <c r="J22" s="7" t="s">
        <v>61</v>
      </c>
      <c r="K22" s="7">
        <v>7.83</v>
      </c>
      <c r="L22" s="7" t="s">
        <v>33</v>
      </c>
      <c r="M22" s="7"/>
      <c r="N22" s="6" t="s">
        <v>84</v>
      </c>
      <c r="O22" s="28" t="s">
        <v>55</v>
      </c>
      <c r="P22" s="6">
        <f t="shared" si="12"/>
        <v>57609</v>
      </c>
      <c r="Q22" s="10">
        <f>IF(ISBLANK(Таблица_CZ_TMF2[[#This Row],[Used capacity million m³]]),"",LOG10(Таблица_CZ_TMF2[[#This Row],[Used capacity million m³]]*1000000))</f>
        <v>5.0606978403536118</v>
      </c>
      <c r="R22" s="6">
        <f t="shared" si="0"/>
        <v>4</v>
      </c>
      <c r="S2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2" s="6">
        <f t="shared" si="1"/>
        <v>1</v>
      </c>
      <c r="U22" s="6">
        <f t="shared" si="2"/>
        <v>1</v>
      </c>
      <c r="V22" s="6">
        <f t="shared" si="3"/>
        <v>1</v>
      </c>
      <c r="W22" s="31">
        <f t="shared" si="4"/>
        <v>14.060697840353612</v>
      </c>
      <c r="X22" s="7">
        <f t="shared" si="5"/>
        <v>21</v>
      </c>
      <c r="Y22" s="10">
        <f t="shared" si="6"/>
        <v>5</v>
      </c>
      <c r="Z22" s="10">
        <f t="shared" si="7"/>
        <v>3</v>
      </c>
      <c r="AA22" s="10">
        <f t="shared" si="8"/>
        <v>8</v>
      </c>
      <c r="AB22" s="33">
        <f t="shared" si="9"/>
        <v>22.060697840353612</v>
      </c>
      <c r="AC22" s="11">
        <f t="shared" si="10"/>
        <v>11</v>
      </c>
      <c r="AD22" s="4"/>
      <c r="AE22" s="4">
        <f t="shared" si="11"/>
        <v>2</v>
      </c>
      <c r="AF22" s="4" t="s">
        <v>68</v>
      </c>
    </row>
    <row r="23" spans="1:32" ht="27.6" x14ac:dyDescent="0.25">
      <c r="A23" s="4">
        <v>22</v>
      </c>
      <c r="B23" s="7" t="s">
        <v>107</v>
      </c>
      <c r="C23" s="8" t="s">
        <v>108</v>
      </c>
      <c r="D23" s="8" t="s">
        <v>90</v>
      </c>
      <c r="E23" s="9">
        <v>41.291857999999998</v>
      </c>
      <c r="F23" s="9">
        <v>72.468536</v>
      </c>
      <c r="G23" s="7">
        <v>0.05</v>
      </c>
      <c r="H23" s="9" t="s">
        <v>60</v>
      </c>
      <c r="I23" s="7">
        <v>4</v>
      </c>
      <c r="J23" s="7" t="s">
        <v>61</v>
      </c>
      <c r="K23" s="7">
        <v>7.83</v>
      </c>
      <c r="L23" s="7" t="s">
        <v>33</v>
      </c>
      <c r="M23" s="7"/>
      <c r="N23" s="6" t="s">
        <v>84</v>
      </c>
      <c r="O23" s="28" t="s">
        <v>55</v>
      </c>
      <c r="P23" s="6">
        <f t="shared" si="12"/>
        <v>57609</v>
      </c>
      <c r="Q23" s="12">
        <f>IF(ISBLANK(Таблица_CZ_TMF2[[#This Row],[Used capacity million m³]]),"",LOG10(Таблица_CZ_TMF2[[#This Row],[Used capacity million m³]]*1000000))</f>
        <v>4.6989700043360187</v>
      </c>
      <c r="R23" s="13">
        <f t="shared" si="0"/>
        <v>4</v>
      </c>
      <c r="S2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3" s="13">
        <f t="shared" si="1"/>
        <v>1</v>
      </c>
      <c r="U23" s="13">
        <f t="shared" si="2"/>
        <v>1</v>
      </c>
      <c r="V23" s="13">
        <f t="shared" si="3"/>
        <v>1</v>
      </c>
      <c r="W23" s="31">
        <f t="shared" si="4"/>
        <v>13.698970004336019</v>
      </c>
      <c r="X23" s="7">
        <f t="shared" si="5"/>
        <v>33</v>
      </c>
      <c r="Y23" s="10">
        <f t="shared" si="6"/>
        <v>5</v>
      </c>
      <c r="Z23" s="10">
        <f t="shared" si="7"/>
        <v>3</v>
      </c>
      <c r="AA23" s="10">
        <f t="shared" si="8"/>
        <v>8</v>
      </c>
      <c r="AB23" s="33">
        <f t="shared" si="9"/>
        <v>21.698970004336019</v>
      </c>
      <c r="AC23" s="11">
        <f t="shared" si="10"/>
        <v>22</v>
      </c>
      <c r="AD23" s="4"/>
      <c r="AE23" s="4">
        <f t="shared" si="11"/>
        <v>2</v>
      </c>
      <c r="AF23" s="4" t="s">
        <v>56</v>
      </c>
    </row>
    <row r="24" spans="1:32" ht="27.6" x14ac:dyDescent="0.25">
      <c r="A24" s="4">
        <v>23</v>
      </c>
      <c r="B24" s="7" t="s">
        <v>109</v>
      </c>
      <c r="C24" s="8" t="s">
        <v>110</v>
      </c>
      <c r="D24" s="8" t="s">
        <v>90</v>
      </c>
      <c r="E24" s="9">
        <v>41.291013999999997</v>
      </c>
      <c r="F24" s="9">
        <v>72.471698000000004</v>
      </c>
      <c r="G24" s="7">
        <v>7.0000000000000007E-2</v>
      </c>
      <c r="H24" s="9" t="s">
        <v>60</v>
      </c>
      <c r="I24" s="7">
        <v>4</v>
      </c>
      <c r="J24" s="7" t="s">
        <v>61</v>
      </c>
      <c r="K24" s="7">
        <v>7.83</v>
      </c>
      <c r="L24" s="7" t="s">
        <v>33</v>
      </c>
      <c r="M24" s="7"/>
      <c r="N24" s="6" t="s">
        <v>84</v>
      </c>
      <c r="O24" s="28" t="s">
        <v>55</v>
      </c>
      <c r="P24" s="6">
        <f t="shared" si="12"/>
        <v>57609</v>
      </c>
      <c r="Q24" s="12">
        <f>IF(ISBLANK(Таблица_CZ_TMF2[[#This Row],[Used capacity million m³]]),"",LOG10(Таблица_CZ_TMF2[[#This Row],[Used capacity million m³]]*1000000))</f>
        <v>4.8450980400142569</v>
      </c>
      <c r="R24" s="13">
        <f t="shared" si="0"/>
        <v>4</v>
      </c>
      <c r="S2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4" s="13">
        <f t="shared" si="1"/>
        <v>1</v>
      </c>
      <c r="U24" s="13">
        <f t="shared" si="2"/>
        <v>1</v>
      </c>
      <c r="V24" s="13">
        <f t="shared" si="3"/>
        <v>1</v>
      </c>
      <c r="W24" s="31">
        <f t="shared" si="4"/>
        <v>13.845098040014257</v>
      </c>
      <c r="X24" s="7">
        <f t="shared" si="5"/>
        <v>30</v>
      </c>
      <c r="Y24" s="10">
        <f t="shared" si="6"/>
        <v>5</v>
      </c>
      <c r="Z24" s="10">
        <f t="shared" si="7"/>
        <v>3</v>
      </c>
      <c r="AA24" s="10">
        <f t="shared" si="8"/>
        <v>8</v>
      </c>
      <c r="AB24" s="33">
        <f t="shared" si="9"/>
        <v>21.845098040014257</v>
      </c>
      <c r="AC24" s="11">
        <f t="shared" si="10"/>
        <v>19</v>
      </c>
      <c r="AD24" s="4"/>
      <c r="AE24" s="4">
        <f t="shared" si="11"/>
        <v>2</v>
      </c>
      <c r="AF24" s="4" t="s">
        <v>56</v>
      </c>
    </row>
    <row r="25" spans="1:32" ht="27.6" x14ac:dyDescent="0.25">
      <c r="A25" s="4">
        <v>24</v>
      </c>
      <c r="B25" s="7" t="s">
        <v>111</v>
      </c>
      <c r="C25" s="8" t="s">
        <v>112</v>
      </c>
      <c r="D25" s="8" t="s">
        <v>95</v>
      </c>
      <c r="E25" s="9">
        <v>41.306559999999998</v>
      </c>
      <c r="F25" s="9">
        <v>72.486131</v>
      </c>
      <c r="G25" s="7">
        <v>2E-3</v>
      </c>
      <c r="H25" s="9" t="s">
        <v>60</v>
      </c>
      <c r="I25" s="7">
        <v>4</v>
      </c>
      <c r="J25" s="7" t="s">
        <v>61</v>
      </c>
      <c r="K25" s="7">
        <v>7.82</v>
      </c>
      <c r="L25" s="7" t="s">
        <v>33</v>
      </c>
      <c r="M25" s="7"/>
      <c r="N25" s="6" t="s">
        <v>84</v>
      </c>
      <c r="O25" s="28" t="s">
        <v>55</v>
      </c>
      <c r="P25" s="6">
        <f t="shared" si="12"/>
        <v>57609</v>
      </c>
      <c r="Q25" s="12">
        <f>IF(ISBLANK(Таблица_CZ_TMF2[[#This Row],[Used capacity million m³]]),"",LOG10(Таблица_CZ_TMF2[[#This Row],[Used capacity million m³]]*1000000))</f>
        <v>3.3010299956639813</v>
      </c>
      <c r="R25" s="13">
        <f t="shared" si="0"/>
        <v>4</v>
      </c>
      <c r="S2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31">
        <f t="shared" si="4"/>
        <v>12.301029995663981</v>
      </c>
      <c r="X25" s="7">
        <f t="shared" si="5"/>
        <v>53</v>
      </c>
      <c r="Y25" s="10">
        <f t="shared" si="6"/>
        <v>5</v>
      </c>
      <c r="Z25" s="10">
        <f t="shared" si="7"/>
        <v>3</v>
      </c>
      <c r="AA25" s="10">
        <f t="shared" si="8"/>
        <v>8</v>
      </c>
      <c r="AB25" s="33">
        <f t="shared" si="9"/>
        <v>20.301029995663981</v>
      </c>
      <c r="AC25" s="11">
        <f t="shared" si="10"/>
        <v>35</v>
      </c>
      <c r="AD25" s="4"/>
      <c r="AE25" s="4">
        <f t="shared" si="11"/>
        <v>2</v>
      </c>
      <c r="AF25" s="4" t="s">
        <v>56</v>
      </c>
    </row>
    <row r="26" spans="1:32" ht="27.6" x14ac:dyDescent="0.25">
      <c r="A26" s="4">
        <v>25</v>
      </c>
      <c r="B26" s="7" t="s">
        <v>113</v>
      </c>
      <c r="C26" s="8" t="s">
        <v>114</v>
      </c>
      <c r="D26" s="8" t="s">
        <v>90</v>
      </c>
      <c r="E26" s="9">
        <v>41.297668999999999</v>
      </c>
      <c r="F26" s="9">
        <v>72.476932000000005</v>
      </c>
      <c r="G26" s="7">
        <v>0.04</v>
      </c>
      <c r="H26" s="9" t="s">
        <v>60</v>
      </c>
      <c r="I26" s="7">
        <v>4</v>
      </c>
      <c r="J26" s="7" t="s">
        <v>61</v>
      </c>
      <c r="K26" s="7">
        <v>7.8</v>
      </c>
      <c r="L26" s="7" t="s">
        <v>33</v>
      </c>
      <c r="M26" s="7"/>
      <c r="N26" s="6" t="s">
        <v>84</v>
      </c>
      <c r="O26" s="28" t="s">
        <v>55</v>
      </c>
      <c r="P26" s="6">
        <f t="shared" si="12"/>
        <v>57609</v>
      </c>
      <c r="Q26" s="10">
        <f>IF(ISBLANK(Таблица_CZ_TMF2[[#This Row],[Used capacity million m³]]),"",LOG10(Таблица_CZ_TMF2[[#This Row],[Used capacity million m³]]*1000000))</f>
        <v>4.6020599913279625</v>
      </c>
      <c r="R26" s="6">
        <f t="shared" si="0"/>
        <v>4</v>
      </c>
      <c r="S2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6" s="6">
        <f t="shared" si="1"/>
        <v>1</v>
      </c>
      <c r="U26" s="6">
        <f t="shared" si="2"/>
        <v>1</v>
      </c>
      <c r="V26" s="6">
        <f t="shared" si="3"/>
        <v>1</v>
      </c>
      <c r="W26" s="31">
        <f t="shared" si="4"/>
        <v>13.602059991327963</v>
      </c>
      <c r="X26" s="7">
        <f t="shared" si="5"/>
        <v>35</v>
      </c>
      <c r="Y26" s="10">
        <f t="shared" si="6"/>
        <v>5</v>
      </c>
      <c r="Z26" s="10">
        <f t="shared" si="7"/>
        <v>3</v>
      </c>
      <c r="AA26" s="10">
        <f t="shared" si="8"/>
        <v>8</v>
      </c>
      <c r="AB26" s="33">
        <f t="shared" si="9"/>
        <v>21.602059991327963</v>
      </c>
      <c r="AC26" s="11">
        <f t="shared" si="10"/>
        <v>24</v>
      </c>
      <c r="AD26" s="4"/>
      <c r="AE26" s="4">
        <f t="shared" si="11"/>
        <v>2</v>
      </c>
      <c r="AF26" s="4" t="s">
        <v>56</v>
      </c>
    </row>
    <row r="27" spans="1:32" ht="27.6" x14ac:dyDescent="0.25">
      <c r="A27" s="4">
        <v>26</v>
      </c>
      <c r="B27" s="7" t="s">
        <v>115</v>
      </c>
      <c r="C27" s="8" t="s">
        <v>116</v>
      </c>
      <c r="D27" s="8" t="s">
        <v>117</v>
      </c>
      <c r="E27" s="9">
        <v>41.295928000000004</v>
      </c>
      <c r="F27" s="9">
        <v>72.475583999999998</v>
      </c>
      <c r="G27" s="7">
        <v>9.9000000000000005E-2</v>
      </c>
      <c r="H27" s="9" t="s">
        <v>60</v>
      </c>
      <c r="I27" s="7">
        <v>4</v>
      </c>
      <c r="J27" s="7" t="s">
        <v>61</v>
      </c>
      <c r="K27" s="7">
        <v>7.8</v>
      </c>
      <c r="L27" s="7" t="s">
        <v>33</v>
      </c>
      <c r="M27" s="7"/>
      <c r="N27" s="6" t="s">
        <v>84</v>
      </c>
      <c r="O27" s="28" t="s">
        <v>55</v>
      </c>
      <c r="P27" s="6">
        <f t="shared" si="12"/>
        <v>57609</v>
      </c>
      <c r="Q27" s="10">
        <f>IF(ISBLANK(Таблица_CZ_TMF2[[#This Row],[Used capacity million m³]]),"",LOG10(Таблица_CZ_TMF2[[#This Row],[Used capacity million m³]]*1000000))</f>
        <v>4.9956351945975497</v>
      </c>
      <c r="R27" s="6">
        <f t="shared" si="0"/>
        <v>4</v>
      </c>
      <c r="S2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7" s="6">
        <f t="shared" si="1"/>
        <v>1</v>
      </c>
      <c r="U27" s="6">
        <f t="shared" si="2"/>
        <v>1</v>
      </c>
      <c r="V27" s="6">
        <f t="shared" si="3"/>
        <v>1</v>
      </c>
      <c r="W27" s="31">
        <f t="shared" si="4"/>
        <v>13.995635194597551</v>
      </c>
      <c r="X27" s="7">
        <f t="shared" si="5"/>
        <v>27</v>
      </c>
      <c r="Y27" s="10">
        <f t="shared" si="6"/>
        <v>5</v>
      </c>
      <c r="Z27" s="10">
        <f t="shared" si="7"/>
        <v>3</v>
      </c>
      <c r="AA27" s="10">
        <f t="shared" si="8"/>
        <v>8</v>
      </c>
      <c r="AB27" s="33">
        <f t="shared" si="9"/>
        <v>21.995635194597551</v>
      </c>
      <c r="AC27" s="11">
        <f t="shared" si="10"/>
        <v>15</v>
      </c>
      <c r="AD27" s="4"/>
      <c r="AE27" s="4">
        <f t="shared" si="11"/>
        <v>2</v>
      </c>
      <c r="AF27" s="4" t="s">
        <v>68</v>
      </c>
    </row>
    <row r="28" spans="1:32" x14ac:dyDescent="0.25">
      <c r="A28" s="4">
        <v>27</v>
      </c>
      <c r="B28" s="7" t="s">
        <v>118</v>
      </c>
      <c r="C28" s="8" t="s">
        <v>119</v>
      </c>
      <c r="D28" s="8" t="s">
        <v>120</v>
      </c>
      <c r="E28" s="9">
        <v>41.293747000000003</v>
      </c>
      <c r="F28" s="9">
        <v>72.480828000000002</v>
      </c>
      <c r="G28" s="7">
        <v>4.7E-2</v>
      </c>
      <c r="H28" s="9" t="s">
        <v>60</v>
      </c>
      <c r="I28" s="7">
        <v>4</v>
      </c>
      <c r="J28" s="7" t="s">
        <v>61</v>
      </c>
      <c r="K28" s="7">
        <v>7.8</v>
      </c>
      <c r="L28" s="7" t="s">
        <v>33</v>
      </c>
      <c r="M28" s="7"/>
      <c r="N28" s="6" t="s">
        <v>84</v>
      </c>
      <c r="O28" s="28" t="s">
        <v>55</v>
      </c>
      <c r="P28" s="6">
        <f t="shared" si="12"/>
        <v>57609</v>
      </c>
      <c r="Q28" s="12">
        <f>IF(ISBLANK(Таблица_CZ_TMF2[[#This Row],[Used capacity million m³]]),"",LOG10(Таблица_CZ_TMF2[[#This Row],[Used capacity million m³]]*1000000))</f>
        <v>4.6720978579357171</v>
      </c>
      <c r="R28" s="6">
        <f t="shared" si="0"/>
        <v>4</v>
      </c>
      <c r="S2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8" s="13">
        <f t="shared" si="1"/>
        <v>1</v>
      </c>
      <c r="U28" s="13">
        <f t="shared" si="2"/>
        <v>1</v>
      </c>
      <c r="V28" s="13">
        <f t="shared" si="3"/>
        <v>1</v>
      </c>
      <c r="W28" s="31">
        <f t="shared" si="4"/>
        <v>13.672097857935718</v>
      </c>
      <c r="X28" s="7">
        <f t="shared" si="5"/>
        <v>34</v>
      </c>
      <c r="Y28" s="10">
        <f t="shared" si="6"/>
        <v>5</v>
      </c>
      <c r="Z28" s="10">
        <f t="shared" si="7"/>
        <v>3</v>
      </c>
      <c r="AA28" s="10">
        <f t="shared" si="8"/>
        <v>8</v>
      </c>
      <c r="AB28" s="33">
        <f t="shared" si="9"/>
        <v>21.672097857935718</v>
      </c>
      <c r="AC28" s="11">
        <f t="shared" si="10"/>
        <v>23</v>
      </c>
      <c r="AD28" s="4"/>
      <c r="AE28" s="4">
        <f t="shared" si="11"/>
        <v>2</v>
      </c>
      <c r="AF28" s="4" t="s">
        <v>56</v>
      </c>
    </row>
    <row r="29" spans="1:32" ht="27.6" x14ac:dyDescent="0.25">
      <c r="A29" s="4">
        <v>28</v>
      </c>
      <c r="B29" s="7" t="s">
        <v>121</v>
      </c>
      <c r="C29" s="8" t="s">
        <v>122</v>
      </c>
      <c r="D29" s="8" t="s">
        <v>123</v>
      </c>
      <c r="E29" s="9">
        <v>41.294325999999998</v>
      </c>
      <c r="F29" s="9">
        <v>72.482346000000007</v>
      </c>
      <c r="G29" s="7">
        <v>0.30299999999999999</v>
      </c>
      <c r="H29" s="9" t="s">
        <v>60</v>
      </c>
      <c r="I29" s="7">
        <v>4</v>
      </c>
      <c r="J29" s="7" t="s">
        <v>61</v>
      </c>
      <c r="K29" s="7">
        <v>7.8</v>
      </c>
      <c r="L29" s="7" t="s">
        <v>33</v>
      </c>
      <c r="M29" s="7"/>
      <c r="N29" s="6" t="s">
        <v>84</v>
      </c>
      <c r="O29" s="28" t="s">
        <v>55</v>
      </c>
      <c r="P29" s="6">
        <f t="shared" si="12"/>
        <v>57609</v>
      </c>
      <c r="Q29" s="12">
        <f>IF(ISBLANK(Таблица_CZ_TMF2[[#This Row],[Used capacity million m³]]),"",LOG10(Таблица_CZ_TMF2[[#This Row],[Used capacity million m³]]*1000000))</f>
        <v>5.4814426285023048</v>
      </c>
      <c r="R29" s="13">
        <f t="shared" si="0"/>
        <v>4</v>
      </c>
      <c r="S2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29" s="13">
        <f t="shared" si="1"/>
        <v>1</v>
      </c>
      <c r="U29" s="13">
        <f t="shared" si="2"/>
        <v>1</v>
      </c>
      <c r="V29" s="13">
        <f t="shared" si="3"/>
        <v>1</v>
      </c>
      <c r="W29" s="31">
        <f t="shared" si="4"/>
        <v>14.481442628502304</v>
      </c>
      <c r="X29" s="7">
        <f t="shared" si="5"/>
        <v>18</v>
      </c>
      <c r="Y29" s="10">
        <f t="shared" si="6"/>
        <v>5</v>
      </c>
      <c r="Z29" s="10">
        <f t="shared" si="7"/>
        <v>3</v>
      </c>
      <c r="AA29" s="10">
        <f t="shared" si="8"/>
        <v>8</v>
      </c>
      <c r="AB29" s="33">
        <f t="shared" si="9"/>
        <v>22.481442628502304</v>
      </c>
      <c r="AC29" s="11">
        <f t="shared" si="10"/>
        <v>7</v>
      </c>
      <c r="AD29" s="4"/>
      <c r="AE29" s="4">
        <f t="shared" si="11"/>
        <v>2</v>
      </c>
      <c r="AF29" s="4" t="s">
        <v>68</v>
      </c>
    </row>
    <row r="30" spans="1:32" ht="27.6" x14ac:dyDescent="0.25">
      <c r="A30" s="4">
        <v>29</v>
      </c>
      <c r="B30" s="7" t="s">
        <v>124</v>
      </c>
      <c r="C30" s="8" t="s">
        <v>125</v>
      </c>
      <c r="D30" s="8" t="s">
        <v>126</v>
      </c>
      <c r="E30" s="9">
        <v>41.296804999999999</v>
      </c>
      <c r="F30" s="9">
        <v>72.482307000000006</v>
      </c>
      <c r="G30" s="7">
        <v>1E-3</v>
      </c>
      <c r="H30" s="9" t="s">
        <v>60</v>
      </c>
      <c r="I30" s="7">
        <v>4</v>
      </c>
      <c r="J30" s="7" t="s">
        <v>61</v>
      </c>
      <c r="K30" s="7">
        <v>7.8</v>
      </c>
      <c r="L30" s="7" t="s">
        <v>33</v>
      </c>
      <c r="M30" s="7"/>
      <c r="N30" s="6" t="s">
        <v>84</v>
      </c>
      <c r="O30" s="28" t="s">
        <v>55</v>
      </c>
      <c r="P30" s="6">
        <f t="shared" si="12"/>
        <v>57609</v>
      </c>
      <c r="Q30" s="10">
        <f>IF(ISBLANK(Таблица_CZ_TMF2[[#This Row],[Used capacity million m³]]),"",LOG10(Таблица_CZ_TMF2[[#This Row],[Used capacity million m³]]*1000000))</f>
        <v>3</v>
      </c>
      <c r="R30" s="6">
        <f t="shared" si="0"/>
        <v>4</v>
      </c>
      <c r="S3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0" s="6">
        <f t="shared" si="1"/>
        <v>1</v>
      </c>
      <c r="U30" s="6">
        <f t="shared" si="2"/>
        <v>1</v>
      </c>
      <c r="V30" s="6">
        <f t="shared" si="3"/>
        <v>1</v>
      </c>
      <c r="W30" s="31">
        <f t="shared" si="4"/>
        <v>12</v>
      </c>
      <c r="X30" s="7">
        <f t="shared" si="5"/>
        <v>56</v>
      </c>
      <c r="Y30" s="10">
        <f t="shared" si="6"/>
        <v>5</v>
      </c>
      <c r="Z30" s="10">
        <f t="shared" si="7"/>
        <v>3</v>
      </c>
      <c r="AA30" s="10">
        <f t="shared" si="8"/>
        <v>8</v>
      </c>
      <c r="AB30" s="33">
        <f t="shared" si="9"/>
        <v>20</v>
      </c>
      <c r="AC30" s="11">
        <f t="shared" si="10"/>
        <v>37</v>
      </c>
      <c r="AD30" s="4"/>
      <c r="AE30" s="4">
        <f t="shared" si="11"/>
        <v>2</v>
      </c>
      <c r="AF30" s="4" t="s">
        <v>56</v>
      </c>
    </row>
    <row r="31" spans="1:32" ht="27.6" x14ac:dyDescent="0.25">
      <c r="A31" s="4">
        <v>30</v>
      </c>
      <c r="B31" s="7" t="s">
        <v>127</v>
      </c>
      <c r="C31" s="8" t="s">
        <v>128</v>
      </c>
      <c r="D31" s="8" t="s">
        <v>126</v>
      </c>
      <c r="E31" s="9">
        <v>41.309705000000001</v>
      </c>
      <c r="F31" s="9">
        <v>72.487449999999995</v>
      </c>
      <c r="G31" s="7">
        <v>3.0000000000000001E-3</v>
      </c>
      <c r="H31" s="9" t="s">
        <v>60</v>
      </c>
      <c r="I31" s="7">
        <v>4</v>
      </c>
      <c r="J31" s="7" t="s">
        <v>61</v>
      </c>
      <c r="K31" s="7">
        <v>7.78</v>
      </c>
      <c r="L31" s="7" t="s">
        <v>33</v>
      </c>
      <c r="M31" s="7"/>
      <c r="N31" s="6" t="s">
        <v>84</v>
      </c>
      <c r="O31" s="28" t="s">
        <v>55</v>
      </c>
      <c r="P31" s="6">
        <f t="shared" si="12"/>
        <v>57609</v>
      </c>
      <c r="Q31" s="10">
        <f>IF(ISBLANK(Таблица_CZ_TMF2[[#This Row],[Used capacity million m³]]),"",LOG10(Таблица_CZ_TMF2[[#This Row],[Used capacity million m³]]*1000000))</f>
        <v>3.4771212547196626</v>
      </c>
      <c r="R31" s="6">
        <f t="shared" si="0"/>
        <v>4</v>
      </c>
      <c r="S3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1" s="6">
        <f t="shared" si="1"/>
        <v>1</v>
      </c>
      <c r="U31" s="6">
        <f t="shared" si="2"/>
        <v>1</v>
      </c>
      <c r="V31" s="6">
        <f t="shared" si="3"/>
        <v>1</v>
      </c>
      <c r="W31" s="31">
        <f t="shared" si="4"/>
        <v>12.477121254719663</v>
      </c>
      <c r="X31" s="7">
        <f t="shared" si="5"/>
        <v>51</v>
      </c>
      <c r="Y31" s="10">
        <f t="shared" si="6"/>
        <v>5</v>
      </c>
      <c r="Z31" s="10">
        <f t="shared" si="7"/>
        <v>3</v>
      </c>
      <c r="AA31" s="10">
        <f t="shared" si="8"/>
        <v>8</v>
      </c>
      <c r="AB31" s="33">
        <f t="shared" si="9"/>
        <v>20.477121254719663</v>
      </c>
      <c r="AC31" s="11">
        <f t="shared" si="10"/>
        <v>33</v>
      </c>
      <c r="AD31" s="4"/>
      <c r="AE31" s="4">
        <f t="shared" si="11"/>
        <v>2</v>
      </c>
      <c r="AF31" s="4" t="s">
        <v>56</v>
      </c>
    </row>
    <row r="32" spans="1:32" ht="27.6" x14ac:dyDescent="0.25">
      <c r="A32" s="4">
        <v>31</v>
      </c>
      <c r="B32" s="7" t="s">
        <v>129</v>
      </c>
      <c r="C32" s="8" t="s">
        <v>130</v>
      </c>
      <c r="D32" s="8" t="s">
        <v>126</v>
      </c>
      <c r="E32" s="9">
        <v>41.299438000000002</v>
      </c>
      <c r="F32" s="9">
        <v>72.514836000000003</v>
      </c>
      <c r="G32" s="7">
        <v>6.0000000000000001E-3</v>
      </c>
      <c r="H32" s="9" t="s">
        <v>60</v>
      </c>
      <c r="I32" s="7">
        <v>4</v>
      </c>
      <c r="J32" s="7" t="s">
        <v>61</v>
      </c>
      <c r="K32" s="7">
        <v>7.78</v>
      </c>
      <c r="L32" s="7" t="s">
        <v>33</v>
      </c>
      <c r="M32" s="7"/>
      <c r="N32" s="6" t="s">
        <v>84</v>
      </c>
      <c r="O32" s="28" t="s">
        <v>55</v>
      </c>
      <c r="P32" s="6">
        <f t="shared" si="12"/>
        <v>57609</v>
      </c>
      <c r="Q32" s="10">
        <f>IF(ISBLANK(Таблица_CZ_TMF2[[#This Row],[Used capacity million m³]]),"",LOG10(Таблица_CZ_TMF2[[#This Row],[Used capacity million m³]]*1000000))</f>
        <v>3.7781512503836434</v>
      </c>
      <c r="R32" s="6">
        <f t="shared" si="0"/>
        <v>4</v>
      </c>
      <c r="S3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2" s="6">
        <f t="shared" si="1"/>
        <v>1</v>
      </c>
      <c r="U32" s="6">
        <f t="shared" si="2"/>
        <v>1</v>
      </c>
      <c r="V32" s="6">
        <f t="shared" si="3"/>
        <v>1</v>
      </c>
      <c r="W32" s="31">
        <f t="shared" si="4"/>
        <v>12.778151250383644</v>
      </c>
      <c r="X32" s="7">
        <f t="shared" si="5"/>
        <v>45</v>
      </c>
      <c r="Y32" s="10">
        <f t="shared" si="6"/>
        <v>5</v>
      </c>
      <c r="Z32" s="10">
        <f t="shared" si="7"/>
        <v>3</v>
      </c>
      <c r="AA32" s="10">
        <f t="shared" si="8"/>
        <v>8</v>
      </c>
      <c r="AB32" s="33">
        <f t="shared" si="9"/>
        <v>20.778151250383644</v>
      </c>
      <c r="AC32" s="11">
        <f t="shared" si="10"/>
        <v>30</v>
      </c>
      <c r="AD32" s="4"/>
      <c r="AE32" s="4">
        <f t="shared" si="11"/>
        <v>2</v>
      </c>
      <c r="AF32" s="4" t="s">
        <v>56</v>
      </c>
    </row>
    <row r="33" spans="1:32" ht="27.6" x14ac:dyDescent="0.25">
      <c r="A33" s="4">
        <v>32</v>
      </c>
      <c r="B33" s="7" t="s">
        <v>131</v>
      </c>
      <c r="C33" s="8" t="s">
        <v>132</v>
      </c>
      <c r="D33" s="8" t="s">
        <v>133</v>
      </c>
      <c r="E33" s="9">
        <v>41.299565999999999</v>
      </c>
      <c r="F33" s="9">
        <v>72.513330999999994</v>
      </c>
      <c r="G33" s="7">
        <v>5.0000000000000001E-3</v>
      </c>
      <c r="H33" s="9" t="s">
        <v>60</v>
      </c>
      <c r="I33" s="7">
        <v>4</v>
      </c>
      <c r="J33" s="7" t="s">
        <v>61</v>
      </c>
      <c r="K33" s="7">
        <v>7.78</v>
      </c>
      <c r="L33" s="7" t="s">
        <v>33</v>
      </c>
      <c r="M33" s="7"/>
      <c r="N33" s="6" t="s">
        <v>84</v>
      </c>
      <c r="O33" s="28" t="s">
        <v>55</v>
      </c>
      <c r="P33" s="6">
        <f t="shared" si="12"/>
        <v>57609</v>
      </c>
      <c r="Q33" s="12">
        <f>IF(ISBLANK(Таблица_CZ_TMF2[[#This Row],[Used capacity million m³]]),"",LOG10(Таблица_CZ_TMF2[[#This Row],[Used capacity million m³]]*1000000))</f>
        <v>3.6989700043360187</v>
      </c>
      <c r="R33" s="13">
        <f t="shared" si="0"/>
        <v>4</v>
      </c>
      <c r="S3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3" s="13">
        <f t="shared" si="1"/>
        <v>1</v>
      </c>
      <c r="U33" s="13">
        <f t="shared" si="2"/>
        <v>1</v>
      </c>
      <c r="V33" s="13">
        <f t="shared" si="3"/>
        <v>1</v>
      </c>
      <c r="W33" s="31">
        <f t="shared" si="4"/>
        <v>12.698970004336019</v>
      </c>
      <c r="X33" s="7">
        <f t="shared" si="5"/>
        <v>46</v>
      </c>
      <c r="Y33" s="10">
        <f t="shared" si="6"/>
        <v>5</v>
      </c>
      <c r="Z33" s="10">
        <f t="shared" si="7"/>
        <v>3</v>
      </c>
      <c r="AA33" s="10">
        <f t="shared" si="8"/>
        <v>8</v>
      </c>
      <c r="AB33" s="33">
        <f t="shared" si="9"/>
        <v>20.698970004336019</v>
      </c>
      <c r="AC33" s="11">
        <f t="shared" si="10"/>
        <v>31</v>
      </c>
      <c r="AD33" s="4"/>
      <c r="AE33" s="4">
        <f t="shared" si="11"/>
        <v>2</v>
      </c>
      <c r="AF33" s="4" t="s">
        <v>56</v>
      </c>
    </row>
    <row r="34" spans="1:32" ht="27.6" x14ac:dyDescent="0.25">
      <c r="A34" s="4">
        <v>33</v>
      </c>
      <c r="B34" s="7" t="s">
        <v>134</v>
      </c>
      <c r="C34" s="8" t="s">
        <v>135</v>
      </c>
      <c r="D34" s="8" t="s">
        <v>133</v>
      </c>
      <c r="E34" s="9">
        <v>41.300285000000002</v>
      </c>
      <c r="F34" s="9">
        <v>72.510593999999998</v>
      </c>
      <c r="G34" s="7">
        <v>3.4000000000000002E-2</v>
      </c>
      <c r="H34" s="9" t="s">
        <v>60</v>
      </c>
      <c r="I34" s="7">
        <v>4</v>
      </c>
      <c r="J34" s="7" t="s">
        <v>61</v>
      </c>
      <c r="K34" s="7">
        <v>7.78</v>
      </c>
      <c r="L34" s="7" t="s">
        <v>33</v>
      </c>
      <c r="M34" s="7"/>
      <c r="N34" s="6" t="s">
        <v>84</v>
      </c>
      <c r="O34" s="28" t="s">
        <v>55</v>
      </c>
      <c r="P34" s="6">
        <f t="shared" si="12"/>
        <v>57609</v>
      </c>
      <c r="Q34" s="10">
        <f>IF(ISBLANK(Таблица_CZ_TMF2[[#This Row],[Used capacity million m³]]),"",LOG10(Таблица_CZ_TMF2[[#This Row],[Used capacity million m³]]*1000000))</f>
        <v>4.5314789170422554</v>
      </c>
      <c r="R34" s="6">
        <f t="shared" ref="R34:R63" si="13">IF(ISBLANK(I34),"",I34)</f>
        <v>4</v>
      </c>
      <c r="S3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4" s="6">
        <f t="shared" ref="T34:T63" si="14">IF(ISBLANK(K34),"",IF(K34&lt;=1,0,1))</f>
        <v>1</v>
      </c>
      <c r="U34" s="6">
        <f t="shared" ref="U34:U63" si="15">IF(ISBLANK(L34),"",IF(L34="no",0,1))</f>
        <v>1</v>
      </c>
      <c r="V34" s="6">
        <f t="shared" ref="V34:V63" si="16">IF(M34&gt;1.35,0,1)</f>
        <v>1</v>
      </c>
      <c r="W34" s="31">
        <f t="shared" si="4"/>
        <v>13.531478917042255</v>
      </c>
      <c r="X34" s="7">
        <f t="shared" si="5"/>
        <v>38</v>
      </c>
      <c r="Y34" s="10">
        <f t="shared" ref="Y34:Y63" si="17">IF(O34="",0,IF(P34=0,1,IF(P34&lt;=100,2,IF(P34&lt;=1000,3,IF(P34&lt;=10000,4,IF(P34&lt;=100000,5,6))))))</f>
        <v>5</v>
      </c>
      <c r="Z34" s="10">
        <f t="shared" ref="Z34:Z63" si="18">IF(O34="",1,IF(O34=0,1,IF(O34="≤100",2,IF(O34="100-1000",3,4))))</f>
        <v>3</v>
      </c>
      <c r="AA34" s="10">
        <f t="shared" si="8"/>
        <v>8</v>
      </c>
      <c r="AB34" s="33">
        <f t="shared" si="9"/>
        <v>21.531478917042257</v>
      </c>
      <c r="AC34" s="11">
        <f t="shared" si="10"/>
        <v>25</v>
      </c>
      <c r="AD34" s="4"/>
      <c r="AE34" s="4">
        <f t="shared" si="11"/>
        <v>2</v>
      </c>
      <c r="AF34" s="4" t="s">
        <v>56</v>
      </c>
    </row>
    <row r="35" spans="1:32" ht="27.6" x14ac:dyDescent="0.25">
      <c r="A35" s="4">
        <v>34</v>
      </c>
      <c r="B35" s="7" t="s">
        <v>136</v>
      </c>
      <c r="C35" s="8" t="s">
        <v>137</v>
      </c>
      <c r="D35" s="8" t="s">
        <v>126</v>
      </c>
      <c r="E35" s="9">
        <v>41.301901000000001</v>
      </c>
      <c r="F35" s="9">
        <v>72.507946000000004</v>
      </c>
      <c r="G35" s="7">
        <v>2E-3</v>
      </c>
      <c r="H35" s="9" t="s">
        <v>60</v>
      </c>
      <c r="I35" s="7">
        <v>4</v>
      </c>
      <c r="J35" s="7" t="s">
        <v>61</v>
      </c>
      <c r="K35" s="7">
        <v>7.78</v>
      </c>
      <c r="L35" s="7" t="s">
        <v>33</v>
      </c>
      <c r="M35" s="7"/>
      <c r="N35" s="6" t="s">
        <v>84</v>
      </c>
      <c r="O35" s="28" t="s">
        <v>55</v>
      </c>
      <c r="P35" s="6">
        <f t="shared" si="12"/>
        <v>57609</v>
      </c>
      <c r="Q35" s="10">
        <f>IF(ISBLANK(Таблица_CZ_TMF2[[#This Row],[Used capacity million m³]]),"",LOG10(Таблица_CZ_TMF2[[#This Row],[Used capacity million m³]]*1000000))</f>
        <v>3.3010299956639813</v>
      </c>
      <c r="R35" s="6">
        <f t="shared" si="13"/>
        <v>4</v>
      </c>
      <c r="S3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5" s="6">
        <f t="shared" si="14"/>
        <v>1</v>
      </c>
      <c r="U35" s="6">
        <f t="shared" si="15"/>
        <v>1</v>
      </c>
      <c r="V35" s="6">
        <f t="shared" si="16"/>
        <v>1</v>
      </c>
      <c r="W35" s="31">
        <f t="shared" si="4"/>
        <v>12.301029995663981</v>
      </c>
      <c r="X35" s="7">
        <f t="shared" si="5"/>
        <v>53</v>
      </c>
      <c r="Y35" s="10">
        <f t="shared" si="17"/>
        <v>5</v>
      </c>
      <c r="Z35" s="10">
        <f t="shared" si="18"/>
        <v>3</v>
      </c>
      <c r="AA35" s="10">
        <f t="shared" si="8"/>
        <v>8</v>
      </c>
      <c r="AB35" s="33">
        <f t="shared" si="9"/>
        <v>20.301029995663981</v>
      </c>
      <c r="AC35" s="11">
        <f t="shared" si="10"/>
        <v>35</v>
      </c>
      <c r="AD35" s="4"/>
      <c r="AE35" s="4">
        <f t="shared" si="11"/>
        <v>2</v>
      </c>
      <c r="AF35" s="4" t="s">
        <v>56</v>
      </c>
    </row>
    <row r="36" spans="1:32" x14ac:dyDescent="0.25">
      <c r="A36" s="4">
        <v>35</v>
      </c>
      <c r="B36" s="7" t="s">
        <v>138</v>
      </c>
      <c r="C36" s="8" t="s">
        <v>139</v>
      </c>
      <c r="D36" s="8" t="s">
        <v>140</v>
      </c>
      <c r="E36" s="9">
        <v>41.300767999999998</v>
      </c>
      <c r="F36" s="9">
        <v>72.508776999999995</v>
      </c>
      <c r="G36" s="7">
        <v>0.1</v>
      </c>
      <c r="H36" s="9" t="s">
        <v>60</v>
      </c>
      <c r="I36" s="7">
        <v>4</v>
      </c>
      <c r="J36" s="7" t="s">
        <v>61</v>
      </c>
      <c r="K36" s="7">
        <v>7.78</v>
      </c>
      <c r="L36" s="7" t="s">
        <v>33</v>
      </c>
      <c r="M36" s="7"/>
      <c r="N36" s="6" t="s">
        <v>141</v>
      </c>
      <c r="O36" s="28" t="s">
        <v>55</v>
      </c>
      <c r="P36" s="6">
        <v>3556</v>
      </c>
      <c r="Q36" s="12">
        <f>IF(ISBLANK(Таблица_CZ_TMF2[[#This Row],[Used capacity million m³]]),"",LOG10(Таблица_CZ_TMF2[[#This Row],[Used capacity million m³]]*1000000))</f>
        <v>5</v>
      </c>
      <c r="R36" s="6">
        <f t="shared" si="13"/>
        <v>4</v>
      </c>
      <c r="S3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6" s="13">
        <f t="shared" si="14"/>
        <v>1</v>
      </c>
      <c r="U36" s="13">
        <f t="shared" si="15"/>
        <v>1</v>
      </c>
      <c r="V36" s="13">
        <f t="shared" si="16"/>
        <v>1</v>
      </c>
      <c r="W36" s="31">
        <f t="shared" si="4"/>
        <v>14</v>
      </c>
      <c r="X36" s="7">
        <f t="shared" si="5"/>
        <v>25</v>
      </c>
      <c r="Y36" s="10">
        <f t="shared" si="17"/>
        <v>4</v>
      </c>
      <c r="Z36" s="10">
        <f t="shared" si="18"/>
        <v>3</v>
      </c>
      <c r="AA36" s="10">
        <f t="shared" si="8"/>
        <v>7</v>
      </c>
      <c r="AB36" s="33">
        <f t="shared" si="9"/>
        <v>21</v>
      </c>
      <c r="AC36" s="11">
        <f t="shared" si="10"/>
        <v>28</v>
      </c>
      <c r="AD36" s="4"/>
      <c r="AE36" s="4">
        <f t="shared" si="11"/>
        <v>2</v>
      </c>
      <c r="AF36" s="4" t="s">
        <v>56</v>
      </c>
    </row>
    <row r="37" spans="1:32" ht="27.6" x14ac:dyDescent="0.25">
      <c r="A37" s="4">
        <v>36</v>
      </c>
      <c r="B37" s="7" t="s">
        <v>142</v>
      </c>
      <c r="C37" s="8" t="s">
        <v>143</v>
      </c>
      <c r="D37" s="8" t="s">
        <v>144</v>
      </c>
      <c r="E37" s="9">
        <v>41.478538999999998</v>
      </c>
      <c r="F37" s="9">
        <v>71.134913999999995</v>
      </c>
      <c r="G37" s="7">
        <v>1.1919999999999999</v>
      </c>
      <c r="H37" s="9" t="s">
        <v>145</v>
      </c>
      <c r="I37" s="7">
        <v>2</v>
      </c>
      <c r="J37" s="7" t="s">
        <v>39</v>
      </c>
      <c r="K37" s="7">
        <v>8.02</v>
      </c>
      <c r="L37" s="7" t="s">
        <v>33</v>
      </c>
      <c r="M37" s="7"/>
      <c r="N37" s="6" t="s">
        <v>141</v>
      </c>
      <c r="O37" s="28" t="s">
        <v>55</v>
      </c>
      <c r="P37" s="6">
        <v>3556</v>
      </c>
      <c r="Q37" s="10">
        <f>IF(ISBLANK(Таблица_CZ_TMF2[[#This Row],[Used capacity million m³]]),"",LOG10(Таблица_CZ_TMF2[[#This Row],[Used capacity million m³]]*1000000))</f>
        <v>6.0762762554042178</v>
      </c>
      <c r="R37" s="6">
        <f t="shared" si="13"/>
        <v>2</v>
      </c>
      <c r="S3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37" s="6">
        <f t="shared" si="14"/>
        <v>1</v>
      </c>
      <c r="U37" s="6">
        <f t="shared" si="15"/>
        <v>1</v>
      </c>
      <c r="V37" s="6">
        <f t="shared" si="16"/>
        <v>1</v>
      </c>
      <c r="W37" s="31">
        <f t="shared" si="4"/>
        <v>11.076276255404217</v>
      </c>
      <c r="X37" s="7">
        <f t="shared" si="5"/>
        <v>58</v>
      </c>
      <c r="Y37" s="10">
        <f t="shared" si="17"/>
        <v>4</v>
      </c>
      <c r="Z37" s="10">
        <f t="shared" si="18"/>
        <v>3</v>
      </c>
      <c r="AA37" s="10">
        <f t="shared" si="8"/>
        <v>7</v>
      </c>
      <c r="AB37" s="33">
        <f t="shared" si="9"/>
        <v>18.076276255404217</v>
      </c>
      <c r="AC37" s="11">
        <f t="shared" si="10"/>
        <v>45</v>
      </c>
      <c r="AD37" s="4"/>
      <c r="AE37" s="4">
        <f t="shared" si="11"/>
        <v>2</v>
      </c>
      <c r="AF37" s="4" t="s">
        <v>56</v>
      </c>
    </row>
    <row r="38" spans="1:32" x14ac:dyDescent="0.25">
      <c r="A38" s="4">
        <v>37</v>
      </c>
      <c r="B38" s="7" t="s">
        <v>146</v>
      </c>
      <c r="C38" s="8" t="s">
        <v>147</v>
      </c>
      <c r="D38" s="8" t="s">
        <v>148</v>
      </c>
      <c r="E38" s="9">
        <v>41.481245999999999</v>
      </c>
      <c r="F38" s="9">
        <v>71.099299999999999</v>
      </c>
      <c r="G38" s="7">
        <v>0.1191</v>
      </c>
      <c r="H38" s="9" t="s">
        <v>149</v>
      </c>
      <c r="I38" s="7">
        <v>3</v>
      </c>
      <c r="J38" s="7" t="s">
        <v>32</v>
      </c>
      <c r="K38" s="7">
        <v>8.02</v>
      </c>
      <c r="L38" s="7" t="s">
        <v>33</v>
      </c>
      <c r="M38" s="7"/>
      <c r="N38" s="6" t="s">
        <v>141</v>
      </c>
      <c r="O38" s="28" t="s">
        <v>55</v>
      </c>
      <c r="P38" s="6">
        <v>3556</v>
      </c>
      <c r="Q38" s="10">
        <f>IF(ISBLANK(Таблица_CZ_TMF2[[#This Row],[Used capacity million m³]]),"",LOG10(Таблица_CZ_TMF2[[#This Row],[Used capacity million m³]]*1000000))</f>
        <v>5.0759117614827778</v>
      </c>
      <c r="R38" s="6">
        <f t="shared" si="13"/>
        <v>3</v>
      </c>
      <c r="S3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38" s="6">
        <f t="shared" si="14"/>
        <v>1</v>
      </c>
      <c r="U38" s="6">
        <f t="shared" si="15"/>
        <v>1</v>
      </c>
      <c r="V38" s="6">
        <f t="shared" si="16"/>
        <v>1</v>
      </c>
      <c r="W38" s="31">
        <f t="shared" si="4"/>
        <v>14.075911761482779</v>
      </c>
      <c r="X38" s="7">
        <f t="shared" si="5"/>
        <v>20</v>
      </c>
      <c r="Y38" s="10">
        <f t="shared" si="17"/>
        <v>4</v>
      </c>
      <c r="Z38" s="10">
        <f t="shared" si="18"/>
        <v>3</v>
      </c>
      <c r="AA38" s="10">
        <f t="shared" si="8"/>
        <v>7</v>
      </c>
      <c r="AB38" s="33">
        <f t="shared" si="9"/>
        <v>21.075911761482779</v>
      </c>
      <c r="AC38" s="11">
        <f t="shared" si="10"/>
        <v>27</v>
      </c>
      <c r="AD38" s="4"/>
      <c r="AE38" s="4">
        <f t="shared" si="11"/>
        <v>2</v>
      </c>
      <c r="AF38" s="4" t="s">
        <v>56</v>
      </c>
    </row>
    <row r="39" spans="1:32" x14ac:dyDescent="0.25">
      <c r="A39" s="4">
        <v>38</v>
      </c>
      <c r="B39" s="7" t="s">
        <v>150</v>
      </c>
      <c r="C39" s="8" t="s">
        <v>151</v>
      </c>
      <c r="D39" s="8" t="s">
        <v>152</v>
      </c>
      <c r="E39" s="9">
        <v>41.331400000000002</v>
      </c>
      <c r="F39" s="9">
        <v>71.166839999999993</v>
      </c>
      <c r="G39" s="7">
        <v>0.28000000000000003</v>
      </c>
      <c r="H39" s="9" t="s">
        <v>153</v>
      </c>
      <c r="I39" s="7">
        <v>3</v>
      </c>
      <c r="J39" s="7" t="s">
        <v>61</v>
      </c>
      <c r="K39" s="7">
        <v>8</v>
      </c>
      <c r="L39" s="7" t="s">
        <v>33</v>
      </c>
      <c r="M39" s="7"/>
      <c r="N39" s="6" t="s">
        <v>154</v>
      </c>
      <c r="O39" s="28" t="s">
        <v>55</v>
      </c>
      <c r="P39" s="6">
        <v>100</v>
      </c>
      <c r="Q39" s="10">
        <f>IF(ISBLANK(Таблица_CZ_TMF2[[#This Row],[Used capacity million m³]]),"",LOG10(Таблица_CZ_TMF2[[#This Row],[Used capacity million m³]]*1000000))</f>
        <v>5.4471580313422194</v>
      </c>
      <c r="R39" s="6">
        <f t="shared" si="13"/>
        <v>3</v>
      </c>
      <c r="S3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39" s="6">
        <f t="shared" si="14"/>
        <v>1</v>
      </c>
      <c r="U39" s="6">
        <f t="shared" si="15"/>
        <v>1</v>
      </c>
      <c r="V39" s="6">
        <f t="shared" si="16"/>
        <v>1</v>
      </c>
      <c r="W39" s="31">
        <f t="shared" si="4"/>
        <v>13.447158031342219</v>
      </c>
      <c r="X39" s="7">
        <f t="shared" si="5"/>
        <v>39</v>
      </c>
      <c r="Y39" s="10">
        <f t="shared" si="17"/>
        <v>2</v>
      </c>
      <c r="Z39" s="10">
        <f t="shared" si="18"/>
        <v>3</v>
      </c>
      <c r="AA39" s="10">
        <f t="shared" si="8"/>
        <v>5</v>
      </c>
      <c r="AB39" s="33">
        <f t="shared" si="9"/>
        <v>18.447158031342219</v>
      </c>
      <c r="AC39" s="11">
        <f t="shared" si="10"/>
        <v>42</v>
      </c>
      <c r="AD39" s="4"/>
      <c r="AE39" s="4">
        <f t="shared" si="11"/>
        <v>2</v>
      </c>
      <c r="AF39" s="4" t="s">
        <v>56</v>
      </c>
    </row>
    <row r="40" spans="1:32" x14ac:dyDescent="0.25">
      <c r="A40" s="4">
        <v>39</v>
      </c>
      <c r="B40" s="7" t="s">
        <v>155</v>
      </c>
      <c r="C40" s="8" t="s">
        <v>156</v>
      </c>
      <c r="D40" s="8" t="s">
        <v>152</v>
      </c>
      <c r="E40" s="9">
        <v>41.330067999999997</v>
      </c>
      <c r="F40" s="9">
        <v>71.170278999999994</v>
      </c>
      <c r="G40" s="7">
        <v>1</v>
      </c>
      <c r="H40" s="9" t="s">
        <v>153</v>
      </c>
      <c r="I40" s="7">
        <v>3</v>
      </c>
      <c r="J40" s="7" t="s">
        <v>61</v>
      </c>
      <c r="K40" s="7">
        <v>8.01</v>
      </c>
      <c r="L40" s="7" t="s">
        <v>33</v>
      </c>
      <c r="M40" s="7"/>
      <c r="N40" s="6" t="s">
        <v>154</v>
      </c>
      <c r="O40" s="28" t="s">
        <v>55</v>
      </c>
      <c r="P40" s="6">
        <v>100</v>
      </c>
      <c r="Q40" s="10">
        <f>IF(ISBLANK(Таблица_CZ_TMF2[[#This Row],[Used capacity million m³]]),"",LOG10(Таблица_CZ_TMF2[[#This Row],[Used capacity million m³]]*1000000))</f>
        <v>6</v>
      </c>
      <c r="R40" s="6">
        <f t="shared" si="13"/>
        <v>3</v>
      </c>
      <c r="S4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40" s="6">
        <f t="shared" si="14"/>
        <v>1</v>
      </c>
      <c r="U40" s="6">
        <f t="shared" si="15"/>
        <v>1</v>
      </c>
      <c r="V40" s="6">
        <f t="shared" si="16"/>
        <v>1</v>
      </c>
      <c r="W40" s="31">
        <f t="shared" si="4"/>
        <v>14</v>
      </c>
      <c r="X40" s="7">
        <f t="shared" si="5"/>
        <v>25</v>
      </c>
      <c r="Y40" s="10">
        <f t="shared" si="17"/>
        <v>2</v>
      </c>
      <c r="Z40" s="10">
        <f t="shared" si="18"/>
        <v>3</v>
      </c>
      <c r="AA40" s="10">
        <f t="shared" si="8"/>
        <v>5</v>
      </c>
      <c r="AB40" s="33">
        <f t="shared" si="9"/>
        <v>19</v>
      </c>
      <c r="AC40" s="11">
        <f t="shared" si="10"/>
        <v>39</v>
      </c>
      <c r="AD40" s="4"/>
      <c r="AE40" s="4">
        <f t="shared" si="11"/>
        <v>2</v>
      </c>
      <c r="AF40" s="4" t="s">
        <v>56</v>
      </c>
    </row>
    <row r="41" spans="1:32" x14ac:dyDescent="0.25">
      <c r="A41" s="4">
        <v>40</v>
      </c>
      <c r="B41" s="7" t="s">
        <v>157</v>
      </c>
      <c r="C41" s="8" t="s">
        <v>158</v>
      </c>
      <c r="D41" s="8" t="s">
        <v>152</v>
      </c>
      <c r="E41" s="9">
        <v>41.332299999999996</v>
      </c>
      <c r="F41" s="9">
        <v>71.156580000000005</v>
      </c>
      <c r="G41" s="7">
        <v>2.78</v>
      </c>
      <c r="H41" s="9" t="s">
        <v>153</v>
      </c>
      <c r="I41" s="7">
        <v>3</v>
      </c>
      <c r="J41" s="7" t="s">
        <v>61</v>
      </c>
      <c r="K41" s="7">
        <v>8</v>
      </c>
      <c r="L41" s="7" t="s">
        <v>66</v>
      </c>
      <c r="M41" s="7"/>
      <c r="N41" s="6" t="s">
        <v>154</v>
      </c>
      <c r="O41" s="28" t="s">
        <v>55</v>
      </c>
      <c r="P41" s="6">
        <v>100</v>
      </c>
      <c r="Q41" s="10">
        <f>IF(ISBLANK(Таблица_CZ_TMF2[[#This Row],[Used capacity million m³]]),"",LOG10(Таблица_CZ_TMF2[[#This Row],[Used capacity million m³]]*1000000))</f>
        <v>6.4440447959180762</v>
      </c>
      <c r="R41" s="6">
        <f t="shared" si="13"/>
        <v>3</v>
      </c>
      <c r="S4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41" s="6">
        <f t="shared" si="14"/>
        <v>1</v>
      </c>
      <c r="U41" s="6">
        <f t="shared" si="15"/>
        <v>0</v>
      </c>
      <c r="V41" s="6">
        <f t="shared" si="16"/>
        <v>1</v>
      </c>
      <c r="W41" s="31">
        <f t="shared" si="4"/>
        <v>13.444044795918076</v>
      </c>
      <c r="X41" s="7">
        <f t="shared" si="5"/>
        <v>40</v>
      </c>
      <c r="Y41" s="10">
        <f t="shared" si="17"/>
        <v>2</v>
      </c>
      <c r="Z41" s="10">
        <f t="shared" si="18"/>
        <v>3</v>
      </c>
      <c r="AA41" s="10">
        <f t="shared" si="8"/>
        <v>5</v>
      </c>
      <c r="AB41" s="33">
        <f t="shared" si="9"/>
        <v>18.444044795918074</v>
      </c>
      <c r="AC41" s="11">
        <f t="shared" si="10"/>
        <v>43</v>
      </c>
      <c r="AD41" s="4"/>
      <c r="AE41" s="4">
        <f t="shared" si="11"/>
        <v>1</v>
      </c>
      <c r="AF41" s="4" t="s">
        <v>56</v>
      </c>
    </row>
    <row r="42" spans="1:32" x14ac:dyDescent="0.25">
      <c r="A42" s="4">
        <v>41</v>
      </c>
      <c r="B42" s="7" t="s">
        <v>159</v>
      </c>
      <c r="C42" s="8" t="s">
        <v>160</v>
      </c>
      <c r="D42" s="8" t="s">
        <v>161</v>
      </c>
      <c r="E42" s="9">
        <v>41.478839999999998</v>
      </c>
      <c r="F42" s="9">
        <v>70.951409999999996</v>
      </c>
      <c r="G42" s="7">
        <v>0.2</v>
      </c>
      <c r="H42" s="9" t="s">
        <v>162</v>
      </c>
      <c r="I42" s="7">
        <v>3</v>
      </c>
      <c r="J42" s="7" t="s">
        <v>32</v>
      </c>
      <c r="K42" s="7">
        <v>8</v>
      </c>
      <c r="L42" s="7" t="s">
        <v>66</v>
      </c>
      <c r="M42" s="7"/>
      <c r="N42" s="6" t="s">
        <v>163</v>
      </c>
      <c r="O42" s="28" t="s">
        <v>55</v>
      </c>
      <c r="P42" s="6">
        <v>100</v>
      </c>
      <c r="Q42" s="10">
        <f>IF(ISBLANK(Таблица_CZ_TMF2[[#This Row],[Used capacity million m³]]),"",LOG10(Таблица_CZ_TMF2[[#This Row],[Used capacity million m³]]*1000000))</f>
        <v>5.3010299956639813</v>
      </c>
      <c r="R42" s="6">
        <f t="shared" si="13"/>
        <v>3</v>
      </c>
      <c r="S4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42" s="6">
        <f t="shared" si="14"/>
        <v>1</v>
      </c>
      <c r="U42" s="6">
        <f t="shared" si="15"/>
        <v>0</v>
      </c>
      <c r="V42" s="6">
        <f t="shared" si="16"/>
        <v>1</v>
      </c>
      <c r="W42" s="31">
        <f t="shared" si="4"/>
        <v>13.301029995663981</v>
      </c>
      <c r="X42" s="7">
        <f t="shared" si="5"/>
        <v>41</v>
      </c>
      <c r="Y42" s="10">
        <f t="shared" si="17"/>
        <v>2</v>
      </c>
      <c r="Z42" s="10">
        <f t="shared" si="18"/>
        <v>3</v>
      </c>
      <c r="AA42" s="10">
        <f t="shared" si="8"/>
        <v>5</v>
      </c>
      <c r="AB42" s="33">
        <f t="shared" si="9"/>
        <v>18.301029995663981</v>
      </c>
      <c r="AC42" s="11">
        <f t="shared" si="10"/>
        <v>44</v>
      </c>
      <c r="AD42" s="4"/>
      <c r="AE42" s="4">
        <f t="shared" si="11"/>
        <v>1</v>
      </c>
      <c r="AF42" s="4" t="s">
        <v>56</v>
      </c>
    </row>
    <row r="43" spans="1:32" x14ac:dyDescent="0.25">
      <c r="A43" s="4">
        <v>42</v>
      </c>
      <c r="B43" s="7" t="s">
        <v>164</v>
      </c>
      <c r="C43" s="8" t="s">
        <v>165</v>
      </c>
      <c r="D43" s="8" t="s">
        <v>166</v>
      </c>
      <c r="E43" s="9">
        <v>39.85942</v>
      </c>
      <c r="F43" s="9">
        <v>70.739750000000001</v>
      </c>
      <c r="G43" s="7">
        <v>9.8000000000000007</v>
      </c>
      <c r="H43" s="9" t="s">
        <v>162</v>
      </c>
      <c r="I43" s="7">
        <v>3</v>
      </c>
      <c r="J43" s="7" t="s">
        <v>32</v>
      </c>
      <c r="K43" s="7">
        <v>4.13</v>
      </c>
      <c r="L43" s="7" t="s">
        <v>66</v>
      </c>
      <c r="M43" s="7"/>
      <c r="N43" s="6">
        <v>0</v>
      </c>
      <c r="O43" s="27">
        <v>0</v>
      </c>
      <c r="P43" s="6">
        <v>31000</v>
      </c>
      <c r="Q43" s="10">
        <f>IF(ISBLANK(Таблица_CZ_TMF2[[#This Row],[Used capacity million m³]]),"",LOG10(Таблица_CZ_TMF2[[#This Row],[Used capacity million m³]]*1000000))</f>
        <v>6.9912260756924951</v>
      </c>
      <c r="R43" s="6">
        <f t="shared" si="13"/>
        <v>3</v>
      </c>
      <c r="S4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43" s="6">
        <f t="shared" si="14"/>
        <v>1</v>
      </c>
      <c r="U43" s="6">
        <f t="shared" si="15"/>
        <v>0</v>
      </c>
      <c r="V43" s="6">
        <f t="shared" si="16"/>
        <v>1</v>
      </c>
      <c r="W43" s="31">
        <f t="shared" si="4"/>
        <v>14.991226075692495</v>
      </c>
      <c r="X43" s="7">
        <f t="shared" si="5"/>
        <v>9</v>
      </c>
      <c r="Y43" s="10">
        <f t="shared" si="17"/>
        <v>5</v>
      </c>
      <c r="Z43" s="10">
        <f t="shared" si="18"/>
        <v>1</v>
      </c>
      <c r="AA43" s="10">
        <f t="shared" si="8"/>
        <v>6</v>
      </c>
      <c r="AB43" s="33">
        <f t="shared" si="9"/>
        <v>20.991226075692495</v>
      </c>
      <c r="AC43" s="11">
        <f t="shared" si="10"/>
        <v>29</v>
      </c>
      <c r="AD43" s="4"/>
      <c r="AE43" s="4">
        <f t="shared" si="11"/>
        <v>1</v>
      </c>
      <c r="AF43" s="4" t="s">
        <v>56</v>
      </c>
    </row>
    <row r="44" spans="1:32" ht="27.6" x14ac:dyDescent="0.25">
      <c r="A44" s="4">
        <v>43</v>
      </c>
      <c r="B44" s="7" t="s">
        <v>167</v>
      </c>
      <c r="C44" s="8" t="s">
        <v>168</v>
      </c>
      <c r="D44" s="8" t="s">
        <v>169</v>
      </c>
      <c r="E44" s="9">
        <v>41.402709999999999</v>
      </c>
      <c r="F44" s="9">
        <v>74.072800000000001</v>
      </c>
      <c r="G44" s="7">
        <v>7.1</v>
      </c>
      <c r="H44" s="9" t="s">
        <v>170</v>
      </c>
      <c r="I44" s="7">
        <v>3</v>
      </c>
      <c r="J44" s="7" t="s">
        <v>32</v>
      </c>
      <c r="K44" s="7">
        <v>7.41</v>
      </c>
      <c r="L44" s="7" t="s">
        <v>33</v>
      </c>
      <c r="M44" s="7"/>
      <c r="N44" s="6" t="s">
        <v>171</v>
      </c>
      <c r="O44" s="28" t="s">
        <v>55</v>
      </c>
      <c r="P44" s="6">
        <v>9486</v>
      </c>
      <c r="Q44" s="12">
        <f>IF(ISBLANK(Таблица_CZ_TMF2[[#This Row],[Used capacity million m³]]),"",LOG10(Таблица_CZ_TMF2[[#This Row],[Used capacity million m³]]*1000000))</f>
        <v>6.8512583487190755</v>
      </c>
      <c r="R44" s="13">
        <f t="shared" si="13"/>
        <v>3</v>
      </c>
      <c r="S4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44" s="13">
        <f t="shared" si="14"/>
        <v>1</v>
      </c>
      <c r="U44" s="13">
        <f t="shared" si="15"/>
        <v>1</v>
      </c>
      <c r="V44" s="13">
        <f t="shared" si="16"/>
        <v>1</v>
      </c>
      <c r="W44" s="31">
        <f t="shared" si="4"/>
        <v>15.851258348719075</v>
      </c>
      <c r="X44" s="7">
        <f t="shared" si="5"/>
        <v>3</v>
      </c>
      <c r="Y44" s="10">
        <f t="shared" si="17"/>
        <v>4</v>
      </c>
      <c r="Z44" s="10">
        <f t="shared" si="18"/>
        <v>3</v>
      </c>
      <c r="AA44" s="10">
        <f t="shared" si="8"/>
        <v>7</v>
      </c>
      <c r="AB44" s="33">
        <f t="shared" si="9"/>
        <v>22.851258348719075</v>
      </c>
      <c r="AC44" s="11">
        <f t="shared" si="10"/>
        <v>3</v>
      </c>
      <c r="AD44" s="4"/>
      <c r="AE44" s="4">
        <f t="shared" si="11"/>
        <v>2</v>
      </c>
      <c r="AF44" s="4" t="s">
        <v>68</v>
      </c>
    </row>
    <row r="45" spans="1:32" ht="27.6" x14ac:dyDescent="0.25">
      <c r="A45" s="4">
        <v>44</v>
      </c>
      <c r="B45" s="7" t="s">
        <v>172</v>
      </c>
      <c r="C45" s="8" t="s">
        <v>173</v>
      </c>
      <c r="D45" s="8" t="s">
        <v>174</v>
      </c>
      <c r="E45" s="9">
        <v>40.110965999999998</v>
      </c>
      <c r="F45" s="9">
        <v>71.708517999999998</v>
      </c>
      <c r="G45" s="7">
        <v>2.6</v>
      </c>
      <c r="H45" s="9" t="s">
        <v>149</v>
      </c>
      <c r="I45" s="7">
        <v>2</v>
      </c>
      <c r="J45" s="7" t="s">
        <v>39</v>
      </c>
      <c r="K45" s="7">
        <v>6.02</v>
      </c>
      <c r="L45" s="7" t="s">
        <v>66</v>
      </c>
      <c r="M45" s="7"/>
      <c r="N45" s="6" t="s">
        <v>175</v>
      </c>
      <c r="O45" s="28" t="s">
        <v>55</v>
      </c>
      <c r="P45" s="6">
        <f>6732+2466</f>
        <v>9198</v>
      </c>
      <c r="Q45" s="10">
        <f>IF(ISBLANK(Таблица_CZ_TMF2[[#This Row],[Used capacity million m³]]),"",LOG10(Таблица_CZ_TMF2[[#This Row],[Used capacity million m³]]*1000000))</f>
        <v>6.4149733479708182</v>
      </c>
      <c r="R45" s="6">
        <f t="shared" si="13"/>
        <v>2</v>
      </c>
      <c r="S4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45" s="6">
        <f t="shared" si="14"/>
        <v>1</v>
      </c>
      <c r="U45" s="6">
        <f t="shared" si="15"/>
        <v>0</v>
      </c>
      <c r="V45" s="6">
        <f t="shared" si="16"/>
        <v>1</v>
      </c>
      <c r="W45" s="31">
        <f t="shared" si="4"/>
        <v>10.414973347970818</v>
      </c>
      <c r="X45" s="7">
        <f t="shared" si="5"/>
        <v>59</v>
      </c>
      <c r="Y45" s="10">
        <f t="shared" si="17"/>
        <v>4</v>
      </c>
      <c r="Z45" s="10">
        <f t="shared" si="18"/>
        <v>3</v>
      </c>
      <c r="AA45" s="10">
        <f t="shared" si="8"/>
        <v>7</v>
      </c>
      <c r="AB45" s="33">
        <f t="shared" si="9"/>
        <v>17.414973347970818</v>
      </c>
      <c r="AC45" s="11">
        <f t="shared" si="10"/>
        <v>49</v>
      </c>
      <c r="AD45" s="4"/>
      <c r="AE45" s="4">
        <f t="shared" si="11"/>
        <v>1</v>
      </c>
      <c r="AF45" s="4" t="s">
        <v>34</v>
      </c>
    </row>
    <row r="46" spans="1:32" ht="27.6" x14ac:dyDescent="0.25">
      <c r="A46" s="4">
        <v>45</v>
      </c>
      <c r="B46" s="7" t="s">
        <v>176</v>
      </c>
      <c r="C46" s="8" t="s">
        <v>177</v>
      </c>
      <c r="D46" s="8" t="s">
        <v>174</v>
      </c>
      <c r="E46" s="9">
        <v>40.115077999999997</v>
      </c>
      <c r="F46" s="9">
        <v>71.713899999999995</v>
      </c>
      <c r="G46" s="7">
        <v>1.1617</v>
      </c>
      <c r="H46" s="9" t="s">
        <v>178</v>
      </c>
      <c r="I46" s="7">
        <v>3</v>
      </c>
      <c r="J46" s="7" t="s">
        <v>32</v>
      </c>
      <c r="K46" s="7">
        <v>6.02</v>
      </c>
      <c r="L46" s="7" t="s">
        <v>33</v>
      </c>
      <c r="M46" s="7"/>
      <c r="N46" s="6" t="s">
        <v>175</v>
      </c>
      <c r="O46" s="28" t="s">
        <v>55</v>
      </c>
      <c r="P46" s="6">
        <f>6732+2466</f>
        <v>9198</v>
      </c>
      <c r="Q46" s="12">
        <f>IF(ISBLANK(Таблица_CZ_TMF2[[#This Row],[Used capacity million m³]]),"",LOG10(Таблица_CZ_TMF2[[#This Row],[Used capacity million m³]]*1000000))</f>
        <v>6.0650939893571527</v>
      </c>
      <c r="R46" s="13">
        <f t="shared" si="13"/>
        <v>3</v>
      </c>
      <c r="S4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46" s="13">
        <f t="shared" si="14"/>
        <v>1</v>
      </c>
      <c r="U46" s="13">
        <f t="shared" si="15"/>
        <v>1</v>
      </c>
      <c r="V46" s="13">
        <f t="shared" si="16"/>
        <v>1</v>
      </c>
      <c r="W46" s="31">
        <f t="shared" si="4"/>
        <v>15.065093989357152</v>
      </c>
      <c r="X46" s="7">
        <f t="shared" si="5"/>
        <v>8</v>
      </c>
      <c r="Y46" s="10">
        <f t="shared" si="17"/>
        <v>4</v>
      </c>
      <c r="Z46" s="10">
        <f t="shared" si="18"/>
        <v>3</v>
      </c>
      <c r="AA46" s="10">
        <f t="shared" si="8"/>
        <v>7</v>
      </c>
      <c r="AB46" s="33">
        <f t="shared" si="9"/>
        <v>22.065093989357152</v>
      </c>
      <c r="AC46" s="11">
        <f t="shared" si="10"/>
        <v>10</v>
      </c>
      <c r="AD46" s="4"/>
      <c r="AE46" s="4">
        <f t="shared" si="11"/>
        <v>2</v>
      </c>
      <c r="AF46" s="4" t="s">
        <v>68</v>
      </c>
    </row>
    <row r="47" spans="1:32" ht="27.6" x14ac:dyDescent="0.25">
      <c r="A47" s="4">
        <v>46</v>
      </c>
      <c r="B47" s="7" t="s">
        <v>179</v>
      </c>
      <c r="C47" s="8" t="s">
        <v>180</v>
      </c>
      <c r="D47" s="8" t="s">
        <v>174</v>
      </c>
      <c r="E47" s="9">
        <v>40.115971000000002</v>
      </c>
      <c r="F47" s="9">
        <v>71.711381000000003</v>
      </c>
      <c r="G47" s="7">
        <v>0.57499999999999996</v>
      </c>
      <c r="H47" s="9" t="s">
        <v>181</v>
      </c>
      <c r="I47" s="7">
        <v>2</v>
      </c>
      <c r="J47" s="7" t="s">
        <v>32</v>
      </c>
      <c r="K47" s="7">
        <v>6.02</v>
      </c>
      <c r="L47" s="7" t="s">
        <v>33</v>
      </c>
      <c r="M47" s="7"/>
      <c r="N47" s="6" t="s">
        <v>175</v>
      </c>
      <c r="O47" s="28" t="s">
        <v>182</v>
      </c>
      <c r="P47" s="6">
        <f>6732+2466</f>
        <v>9198</v>
      </c>
      <c r="Q47" s="10">
        <f>IF(ISBLANK(Таблица_CZ_TMF2[[#This Row],[Used capacity million m³]]),"",LOG10(Таблица_CZ_TMF2[[#This Row],[Used capacity million m³]]*1000000))</f>
        <v>5.7596678446896306</v>
      </c>
      <c r="R47" s="6">
        <f t="shared" si="13"/>
        <v>2</v>
      </c>
      <c r="S4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47" s="6">
        <f t="shared" si="14"/>
        <v>1</v>
      </c>
      <c r="U47" s="6">
        <f t="shared" si="15"/>
        <v>1</v>
      </c>
      <c r="V47" s="6">
        <f t="shared" si="16"/>
        <v>1</v>
      </c>
      <c r="W47" s="31">
        <f t="shared" si="4"/>
        <v>13.759667844689631</v>
      </c>
      <c r="X47" s="7">
        <f t="shared" si="5"/>
        <v>32</v>
      </c>
      <c r="Y47" s="10">
        <f t="shared" si="17"/>
        <v>4</v>
      </c>
      <c r="Z47" s="10">
        <f t="shared" si="18"/>
        <v>4</v>
      </c>
      <c r="AA47" s="10">
        <f t="shared" si="8"/>
        <v>8</v>
      </c>
      <c r="AB47" s="33">
        <f t="shared" si="9"/>
        <v>21.759667844689631</v>
      </c>
      <c r="AC47" s="11">
        <f t="shared" si="10"/>
        <v>21</v>
      </c>
      <c r="AD47" s="4"/>
      <c r="AE47" s="4">
        <f t="shared" si="11"/>
        <v>2</v>
      </c>
      <c r="AF47" s="4" t="s">
        <v>56</v>
      </c>
    </row>
    <row r="48" spans="1:32" x14ac:dyDescent="0.25">
      <c r="A48" s="4">
        <v>47</v>
      </c>
      <c r="B48" s="7" t="s">
        <v>183</v>
      </c>
      <c r="C48" s="8" t="s">
        <v>184</v>
      </c>
      <c r="D48" s="8" t="s">
        <v>185</v>
      </c>
      <c r="E48" s="9">
        <v>40.160758000000001</v>
      </c>
      <c r="F48" s="9">
        <v>71.326472999999993</v>
      </c>
      <c r="G48" s="7">
        <v>1E-3</v>
      </c>
      <c r="H48" s="9" t="s">
        <v>186</v>
      </c>
      <c r="I48" s="7">
        <v>3</v>
      </c>
      <c r="J48" s="7" t="s">
        <v>61</v>
      </c>
      <c r="K48" s="7">
        <v>5.74</v>
      </c>
      <c r="L48" s="7" t="s">
        <v>66</v>
      </c>
      <c r="M48" s="7"/>
      <c r="N48" s="6">
        <v>0</v>
      </c>
      <c r="O48" s="27">
        <v>0</v>
      </c>
      <c r="P48" s="6">
        <v>0</v>
      </c>
      <c r="Q48" s="12">
        <f>IF(ISBLANK(Таблица_CZ_TMF2[[#This Row],[Used capacity million m³]]),"",LOG10(Таблица_CZ_TMF2[[#This Row],[Used capacity million m³]]*1000000))</f>
        <v>3</v>
      </c>
      <c r="R48" s="6">
        <f t="shared" si="13"/>
        <v>3</v>
      </c>
      <c r="S4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48" s="13">
        <f t="shared" si="14"/>
        <v>1</v>
      </c>
      <c r="U48" s="13">
        <f t="shared" si="15"/>
        <v>0</v>
      </c>
      <c r="V48" s="13">
        <f t="shared" si="16"/>
        <v>1</v>
      </c>
      <c r="W48" s="31">
        <f t="shared" si="4"/>
        <v>10</v>
      </c>
      <c r="X48" s="7">
        <f t="shared" si="5"/>
        <v>60</v>
      </c>
      <c r="Y48" s="10">
        <f t="shared" si="17"/>
        <v>1</v>
      </c>
      <c r="Z48" s="10">
        <f t="shared" si="18"/>
        <v>1</v>
      </c>
      <c r="AA48" s="10">
        <f t="shared" si="8"/>
        <v>2</v>
      </c>
      <c r="AB48" s="33">
        <f t="shared" si="9"/>
        <v>12</v>
      </c>
      <c r="AC48" s="11">
        <f t="shared" si="10"/>
        <v>62</v>
      </c>
      <c r="AD48" s="4"/>
      <c r="AE48" s="4">
        <f t="shared" si="11"/>
        <v>1</v>
      </c>
      <c r="AF48" s="4" t="s">
        <v>34</v>
      </c>
    </row>
    <row r="49" spans="1:32" x14ac:dyDescent="0.25">
      <c r="A49" s="4">
        <v>48</v>
      </c>
      <c r="B49" s="7" t="s">
        <v>187</v>
      </c>
      <c r="C49" s="8" t="s">
        <v>188</v>
      </c>
      <c r="D49" s="8" t="s">
        <v>185</v>
      </c>
      <c r="E49" s="9">
        <v>40.156241999999999</v>
      </c>
      <c r="F49" s="9">
        <v>71.316218000000006</v>
      </c>
      <c r="G49" s="7">
        <v>0.26600000000000001</v>
      </c>
      <c r="H49" s="9" t="s">
        <v>186</v>
      </c>
      <c r="I49" s="7">
        <v>3</v>
      </c>
      <c r="J49" s="7" t="s">
        <v>61</v>
      </c>
      <c r="K49" s="7">
        <v>5.75</v>
      </c>
      <c r="L49" s="7" t="s">
        <v>66</v>
      </c>
      <c r="M49" s="7"/>
      <c r="N49" s="6">
        <v>0</v>
      </c>
      <c r="O49" s="11">
        <v>0</v>
      </c>
      <c r="P49" s="6">
        <v>0</v>
      </c>
      <c r="Q49" s="12">
        <f>IF(ISBLANK(Таблица_CZ_TMF2[[#This Row],[Used capacity million m³]]),"",LOG10(Таблица_CZ_TMF2[[#This Row],[Used capacity million m³]]*1000000))</f>
        <v>5.424881636631067</v>
      </c>
      <c r="R49" s="13">
        <f t="shared" si="13"/>
        <v>3</v>
      </c>
      <c r="S4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49" s="13">
        <f t="shared" si="14"/>
        <v>1</v>
      </c>
      <c r="U49" s="13">
        <f t="shared" si="15"/>
        <v>0</v>
      </c>
      <c r="V49" s="13">
        <f t="shared" si="16"/>
        <v>1</v>
      </c>
      <c r="W49" s="31">
        <f t="shared" si="4"/>
        <v>12.424881636631067</v>
      </c>
      <c r="X49" s="7">
        <f t="shared" si="5"/>
        <v>52</v>
      </c>
      <c r="Y49" s="10">
        <f t="shared" si="17"/>
        <v>1</v>
      </c>
      <c r="Z49" s="10">
        <f t="shared" si="18"/>
        <v>1</v>
      </c>
      <c r="AA49" s="10">
        <f t="shared" si="8"/>
        <v>2</v>
      </c>
      <c r="AB49" s="33">
        <f t="shared" si="9"/>
        <v>14.424881636631067</v>
      </c>
      <c r="AC49" s="11">
        <f t="shared" si="10"/>
        <v>58</v>
      </c>
      <c r="AD49" s="4"/>
      <c r="AE49" s="4">
        <f t="shared" si="11"/>
        <v>1</v>
      </c>
      <c r="AF49" s="4" t="s">
        <v>34</v>
      </c>
    </row>
    <row r="50" spans="1:32" x14ac:dyDescent="0.25">
      <c r="A50" s="4">
        <v>49</v>
      </c>
      <c r="B50" s="15" t="s">
        <v>189</v>
      </c>
      <c r="C50" s="15" t="s">
        <v>190</v>
      </c>
      <c r="D50" s="8" t="s">
        <v>191</v>
      </c>
      <c r="E50" s="14">
        <v>42.465400000000002</v>
      </c>
      <c r="F50" s="14">
        <v>73.493799999999993</v>
      </c>
      <c r="G50" s="15">
        <v>3.9E-2</v>
      </c>
      <c r="H50" s="16" t="s">
        <v>192</v>
      </c>
      <c r="I50" s="15">
        <v>3</v>
      </c>
      <c r="J50" s="7" t="s">
        <v>39</v>
      </c>
      <c r="K50" s="15">
        <v>8</v>
      </c>
      <c r="L50" s="15" t="s">
        <v>66</v>
      </c>
      <c r="M50" s="17"/>
      <c r="N50" s="4" t="s">
        <v>193</v>
      </c>
      <c r="O50" s="28" t="s">
        <v>55</v>
      </c>
      <c r="P50" s="16">
        <v>0</v>
      </c>
      <c r="Q50" s="12">
        <f>IF(ISBLANK(Таблица_CZ_TMF2[[#This Row],[Used capacity million m³]]),"",LOG10(Таблица_CZ_TMF2[[#This Row],[Used capacity million m³]]*1000000))</f>
        <v>4.5910646070264995</v>
      </c>
      <c r="R50" s="6">
        <f t="shared" si="13"/>
        <v>3</v>
      </c>
      <c r="S5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0</v>
      </c>
      <c r="T50" s="13">
        <f t="shared" si="14"/>
        <v>1</v>
      </c>
      <c r="U50" s="13">
        <f t="shared" si="15"/>
        <v>0</v>
      </c>
      <c r="V50" s="13">
        <f t="shared" si="16"/>
        <v>1</v>
      </c>
      <c r="W50" s="31">
        <f t="shared" si="4"/>
        <v>9.5910646070264995</v>
      </c>
      <c r="X50" s="7">
        <f t="shared" si="5"/>
        <v>61</v>
      </c>
      <c r="Y50" s="10">
        <f t="shared" si="17"/>
        <v>1</v>
      </c>
      <c r="Z50" s="10">
        <f t="shared" si="18"/>
        <v>3</v>
      </c>
      <c r="AA50" s="10">
        <f t="shared" si="8"/>
        <v>4</v>
      </c>
      <c r="AB50" s="33">
        <f t="shared" si="9"/>
        <v>13.5910646070265</v>
      </c>
      <c r="AC50" s="11">
        <f t="shared" si="10"/>
        <v>60</v>
      </c>
      <c r="AD50" s="4"/>
      <c r="AE50" s="4">
        <f t="shared" si="11"/>
        <v>1</v>
      </c>
      <c r="AF50" s="4" t="s">
        <v>34</v>
      </c>
    </row>
    <row r="51" spans="1:32" ht="15.45" customHeight="1" x14ac:dyDescent="0.25">
      <c r="A51" s="4">
        <v>50</v>
      </c>
      <c r="B51" s="5" t="s">
        <v>194</v>
      </c>
      <c r="C51" s="15" t="s">
        <v>195</v>
      </c>
      <c r="D51" s="8" t="s">
        <v>196</v>
      </c>
      <c r="E51" s="9">
        <v>42.024439999999998</v>
      </c>
      <c r="F51" s="9">
        <v>71.423000999999999</v>
      </c>
      <c r="G51" s="5">
        <v>7</v>
      </c>
      <c r="H51" s="7" t="s">
        <v>197</v>
      </c>
      <c r="I51" s="5">
        <v>3</v>
      </c>
      <c r="J51" s="7" t="s">
        <v>32</v>
      </c>
      <c r="K51" s="5">
        <v>7</v>
      </c>
      <c r="L51" s="7" t="s">
        <v>33</v>
      </c>
      <c r="M51" s="4"/>
      <c r="N51" s="18" t="s">
        <v>198</v>
      </c>
      <c r="O51" s="28" t="s">
        <v>55</v>
      </c>
      <c r="P51" s="7">
        <f>5357+1751</f>
        <v>7108</v>
      </c>
      <c r="Q51" s="12">
        <f>IF(ISBLANK(Таблица_CZ_TMF2[[#This Row],[Used capacity million m³]]),"",LOG10(Таблица_CZ_TMF2[[#This Row],[Used capacity million m³]]*1000000))</f>
        <v>6.8450980400142569</v>
      </c>
      <c r="R51" s="6">
        <f t="shared" si="13"/>
        <v>3</v>
      </c>
      <c r="S5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1" s="13">
        <f t="shared" si="14"/>
        <v>1</v>
      </c>
      <c r="U51" s="13">
        <f t="shared" si="15"/>
        <v>1</v>
      </c>
      <c r="V51" s="13">
        <f t="shared" si="16"/>
        <v>1</v>
      </c>
      <c r="W51" s="31">
        <f t="shared" si="4"/>
        <v>15.845098040014257</v>
      </c>
      <c r="X51" s="7">
        <f t="shared" si="5"/>
        <v>4</v>
      </c>
      <c r="Y51" s="10">
        <f t="shared" si="17"/>
        <v>4</v>
      </c>
      <c r="Z51" s="10">
        <f t="shared" si="18"/>
        <v>3</v>
      </c>
      <c r="AA51" s="10">
        <f t="shared" si="8"/>
        <v>7</v>
      </c>
      <c r="AB51" s="33">
        <f t="shared" si="9"/>
        <v>22.845098040014257</v>
      </c>
      <c r="AC51" s="11">
        <f t="shared" si="10"/>
        <v>4</v>
      </c>
      <c r="AD51" s="4"/>
      <c r="AE51" s="4">
        <f t="shared" si="11"/>
        <v>2</v>
      </c>
      <c r="AF51" s="4" t="s">
        <v>68</v>
      </c>
    </row>
    <row r="52" spans="1:32" x14ac:dyDescent="0.25">
      <c r="A52" s="4">
        <v>51</v>
      </c>
      <c r="B52" s="15" t="s">
        <v>199</v>
      </c>
      <c r="C52" s="15" t="s">
        <v>200</v>
      </c>
      <c r="D52" s="8" t="s">
        <v>201</v>
      </c>
      <c r="E52" s="9">
        <v>42.681876000000003</v>
      </c>
      <c r="F52" s="9">
        <v>75.673407999999995</v>
      </c>
      <c r="G52" s="15">
        <v>0.75815999999999995</v>
      </c>
      <c r="H52" s="9" t="s">
        <v>170</v>
      </c>
      <c r="I52" s="7">
        <v>3</v>
      </c>
      <c r="J52" s="7" t="s">
        <v>32</v>
      </c>
      <c r="K52" s="15">
        <v>9</v>
      </c>
      <c r="L52" s="7" t="s">
        <v>33</v>
      </c>
      <c r="M52" s="17"/>
      <c r="N52" s="4" t="s">
        <v>193</v>
      </c>
      <c r="O52" s="28" t="s">
        <v>55</v>
      </c>
      <c r="P52" s="29">
        <f>6260+2644</f>
        <v>8904</v>
      </c>
      <c r="Q52" s="10">
        <f>IF(ISBLANK(Таблица_CZ_TMF2[[#This Row],[Used capacity million m³]]),"",LOG10(Таблица_CZ_TMF2[[#This Row],[Used capacity million m³]]*1000000))</f>
        <v>5.8797608676167545</v>
      </c>
      <c r="R52" s="6">
        <f t="shared" si="13"/>
        <v>3</v>
      </c>
      <c r="S5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2" s="6">
        <f t="shared" si="14"/>
        <v>1</v>
      </c>
      <c r="U52" s="6">
        <f t="shared" si="15"/>
        <v>1</v>
      </c>
      <c r="V52" s="6">
        <f t="shared" si="16"/>
        <v>1</v>
      </c>
      <c r="W52" s="31">
        <f t="shared" si="4"/>
        <v>14.879760867616755</v>
      </c>
      <c r="X52" s="7">
        <f t="shared" si="5"/>
        <v>11</v>
      </c>
      <c r="Y52" s="10">
        <f t="shared" si="17"/>
        <v>4</v>
      </c>
      <c r="Z52" s="10">
        <f t="shared" si="18"/>
        <v>3</v>
      </c>
      <c r="AA52" s="10">
        <f t="shared" si="8"/>
        <v>7</v>
      </c>
      <c r="AB52" s="33">
        <f t="shared" si="9"/>
        <v>21.879760867616753</v>
      </c>
      <c r="AC52" s="11">
        <f t="shared" si="10"/>
        <v>18</v>
      </c>
      <c r="AD52" s="4"/>
      <c r="AE52" s="4">
        <f t="shared" si="11"/>
        <v>2</v>
      </c>
      <c r="AF52" s="4" t="s">
        <v>56</v>
      </c>
    </row>
    <row r="53" spans="1:32" x14ac:dyDescent="0.25">
      <c r="A53" s="4">
        <v>52</v>
      </c>
      <c r="B53" s="15" t="s">
        <v>202</v>
      </c>
      <c r="C53" s="15" t="s">
        <v>203</v>
      </c>
      <c r="D53" s="8" t="s">
        <v>201</v>
      </c>
      <c r="E53" s="9">
        <v>42.686781000000003</v>
      </c>
      <c r="F53" s="9">
        <v>75.665544999999995</v>
      </c>
      <c r="G53" s="15">
        <v>4.6818999999999997</v>
      </c>
      <c r="H53" s="30" t="s">
        <v>204</v>
      </c>
      <c r="I53" s="30">
        <v>4</v>
      </c>
      <c r="J53" s="7" t="s">
        <v>32</v>
      </c>
      <c r="K53" s="15">
        <v>9</v>
      </c>
      <c r="L53" s="7" t="s">
        <v>33</v>
      </c>
      <c r="M53" s="17"/>
      <c r="N53" s="4" t="s">
        <v>193</v>
      </c>
      <c r="O53" s="28" t="s">
        <v>55</v>
      </c>
      <c r="P53" s="29">
        <f>6260+2644</f>
        <v>8904</v>
      </c>
      <c r="Q53" s="12">
        <f>IF(ISBLANK(Таблица_CZ_TMF2[[#This Row],[Used capacity million m³]]),"",LOG10(Таблица_CZ_TMF2[[#This Row],[Used capacity million m³]]*1000000))</f>
        <v>6.6704221334289544</v>
      </c>
      <c r="R53" s="13">
        <f t="shared" si="13"/>
        <v>4</v>
      </c>
      <c r="S5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3" s="13">
        <f t="shared" si="14"/>
        <v>1</v>
      </c>
      <c r="U53" s="13">
        <f t="shared" si="15"/>
        <v>1</v>
      </c>
      <c r="V53" s="13">
        <f t="shared" si="16"/>
        <v>1</v>
      </c>
      <c r="W53" s="31">
        <f t="shared" si="4"/>
        <v>16.670422133428954</v>
      </c>
      <c r="X53" s="7">
        <f t="shared" si="5"/>
        <v>1</v>
      </c>
      <c r="Y53" s="10">
        <f t="shared" si="17"/>
        <v>4</v>
      </c>
      <c r="Z53" s="10">
        <f t="shared" si="18"/>
        <v>3</v>
      </c>
      <c r="AA53" s="10">
        <f t="shared" si="8"/>
        <v>7</v>
      </c>
      <c r="AB53" s="33">
        <f t="shared" si="9"/>
        <v>23.670422133428954</v>
      </c>
      <c r="AC53" s="11">
        <f t="shared" si="10"/>
        <v>1</v>
      </c>
      <c r="AD53" s="4"/>
      <c r="AE53" s="4">
        <f t="shared" si="11"/>
        <v>2</v>
      </c>
      <c r="AF53" s="4" t="s">
        <v>68</v>
      </c>
    </row>
    <row r="54" spans="1:32" x14ac:dyDescent="0.25">
      <c r="A54" s="4">
        <v>53</v>
      </c>
      <c r="B54" s="15" t="s">
        <v>205</v>
      </c>
      <c r="C54" s="15" t="s">
        <v>206</v>
      </c>
      <c r="D54" s="15" t="s">
        <v>207</v>
      </c>
      <c r="E54" s="9">
        <v>40.356110999999999</v>
      </c>
      <c r="F54" s="9">
        <v>72.255832999999996</v>
      </c>
      <c r="G54" s="15">
        <v>1E-4</v>
      </c>
      <c r="H54" s="15" t="s">
        <v>208</v>
      </c>
      <c r="I54" s="15">
        <v>2</v>
      </c>
      <c r="J54" s="7" t="s">
        <v>61</v>
      </c>
      <c r="K54" s="15">
        <v>9</v>
      </c>
      <c r="L54" s="7" t="s">
        <v>33</v>
      </c>
      <c r="M54" s="17"/>
      <c r="N54" s="19" t="s">
        <v>209</v>
      </c>
      <c r="O54" s="28" t="s">
        <v>55</v>
      </c>
      <c r="P54" s="16"/>
      <c r="Q54" s="12">
        <f>IF(ISBLANK(Таблица_CZ_TMF2[[#This Row],[Used capacity million m³]]),"",LOG10(Таблица_CZ_TMF2[[#This Row],[Used capacity million m³]]*1000000))</f>
        <v>2</v>
      </c>
      <c r="R54" s="6">
        <f t="shared" si="13"/>
        <v>2</v>
      </c>
      <c r="S54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54" s="13">
        <f t="shared" si="14"/>
        <v>1</v>
      </c>
      <c r="U54" s="13">
        <f t="shared" si="15"/>
        <v>1</v>
      </c>
      <c r="V54" s="13">
        <f t="shared" si="16"/>
        <v>1</v>
      </c>
      <c r="W54" s="31">
        <f t="shared" si="4"/>
        <v>9</v>
      </c>
      <c r="X54" s="7">
        <f t="shared" si="5"/>
        <v>62</v>
      </c>
      <c r="Y54" s="10">
        <f t="shared" si="17"/>
        <v>1</v>
      </c>
      <c r="Z54" s="10">
        <f t="shared" si="18"/>
        <v>3</v>
      </c>
      <c r="AA54" s="10">
        <f t="shared" si="8"/>
        <v>4</v>
      </c>
      <c r="AB54" s="33">
        <f t="shared" si="9"/>
        <v>13</v>
      </c>
      <c r="AC54" s="11">
        <f t="shared" si="10"/>
        <v>61</v>
      </c>
      <c r="AD54" s="4"/>
      <c r="AE54" s="4">
        <f t="shared" si="11"/>
        <v>2</v>
      </c>
      <c r="AF54" s="4" t="s">
        <v>34</v>
      </c>
    </row>
    <row r="55" spans="1:32" x14ac:dyDescent="0.25">
      <c r="A55" s="4">
        <v>54</v>
      </c>
      <c r="B55" s="15" t="s">
        <v>210</v>
      </c>
      <c r="C55" s="15" t="s">
        <v>211</v>
      </c>
      <c r="D55" s="8" t="s">
        <v>212</v>
      </c>
      <c r="E55" s="9">
        <v>41.781745000000001</v>
      </c>
      <c r="F55" s="9">
        <v>76.232849000000002</v>
      </c>
      <c r="G55" s="15">
        <v>0.38600000000000001</v>
      </c>
      <c r="H55" s="16" t="s">
        <v>213</v>
      </c>
      <c r="I55" s="15">
        <v>2</v>
      </c>
      <c r="J55" s="7" t="s">
        <v>32</v>
      </c>
      <c r="K55" s="15">
        <v>9</v>
      </c>
      <c r="L55" s="15" t="s">
        <v>66</v>
      </c>
      <c r="M55" s="17"/>
      <c r="N55" s="16" t="s">
        <v>214</v>
      </c>
      <c r="O55" s="28" t="s">
        <v>55</v>
      </c>
      <c r="P55" s="16"/>
      <c r="Q55" s="10">
        <f>IF(ISBLANK(Таблица_CZ_TMF2[[#This Row],[Used capacity million m³]]),"",LOG10(Таблица_CZ_TMF2[[#This Row],[Used capacity million m³]]*1000000))</f>
        <v>5.5865873046717551</v>
      </c>
      <c r="R55" s="6">
        <f t="shared" si="13"/>
        <v>2</v>
      </c>
      <c r="S55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5" s="6">
        <f t="shared" si="14"/>
        <v>1</v>
      </c>
      <c r="U55" s="6">
        <f t="shared" si="15"/>
        <v>0</v>
      </c>
      <c r="V55" s="6">
        <f t="shared" si="16"/>
        <v>1</v>
      </c>
      <c r="W55" s="31">
        <f t="shared" si="4"/>
        <v>12.586587304671756</v>
      </c>
      <c r="X55" s="7">
        <f t="shared" si="5"/>
        <v>47</v>
      </c>
      <c r="Y55" s="10">
        <f t="shared" si="17"/>
        <v>1</v>
      </c>
      <c r="Z55" s="10">
        <f t="shared" si="18"/>
        <v>3</v>
      </c>
      <c r="AA55" s="10">
        <f t="shared" si="8"/>
        <v>4</v>
      </c>
      <c r="AB55" s="33">
        <f t="shared" si="9"/>
        <v>16.586587304671756</v>
      </c>
      <c r="AC55" s="11">
        <f t="shared" si="10"/>
        <v>53</v>
      </c>
      <c r="AD55" s="4"/>
      <c r="AE55" s="4">
        <f t="shared" si="11"/>
        <v>1</v>
      </c>
      <c r="AF55" s="4" t="s">
        <v>34</v>
      </c>
    </row>
    <row r="56" spans="1:32" ht="15.6" x14ac:dyDescent="0.35">
      <c r="A56" s="4">
        <v>55</v>
      </c>
      <c r="B56" s="15" t="s">
        <v>215</v>
      </c>
      <c r="C56" s="15" t="s">
        <v>216</v>
      </c>
      <c r="D56" s="15" t="s">
        <v>217</v>
      </c>
      <c r="E56" s="9">
        <v>42.43038</v>
      </c>
      <c r="F56" s="9">
        <v>72.705340000000007</v>
      </c>
      <c r="G56" s="15">
        <v>24</v>
      </c>
      <c r="H56" s="20" t="s">
        <v>218</v>
      </c>
      <c r="I56" s="15">
        <v>3</v>
      </c>
      <c r="J56" s="7" t="s">
        <v>32</v>
      </c>
      <c r="K56" s="15">
        <v>8</v>
      </c>
      <c r="L56" s="7" t="s">
        <v>33</v>
      </c>
      <c r="M56" s="17"/>
      <c r="N56" s="16" t="s">
        <v>219</v>
      </c>
      <c r="O56" s="27" t="s">
        <v>49</v>
      </c>
      <c r="P56" s="16">
        <v>100</v>
      </c>
      <c r="Q56" s="12">
        <f>IF(ISBLANK(Таблица_CZ_TMF2[[#This Row],[Used capacity million m³]]),"",LOG10(Таблица_CZ_TMF2[[#This Row],[Used capacity million m³]]*1000000))</f>
        <v>7.3802112417116064</v>
      </c>
      <c r="R56" s="6">
        <f t="shared" si="13"/>
        <v>3</v>
      </c>
      <c r="S56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6" s="13">
        <f t="shared" si="14"/>
        <v>1</v>
      </c>
      <c r="U56" s="13">
        <f t="shared" si="15"/>
        <v>1</v>
      </c>
      <c r="V56" s="13">
        <f t="shared" si="16"/>
        <v>1</v>
      </c>
      <c r="W56" s="31">
        <f t="shared" si="4"/>
        <v>16.380211241711606</v>
      </c>
      <c r="X56" s="7">
        <f t="shared" si="5"/>
        <v>2</v>
      </c>
      <c r="Y56" s="10">
        <f t="shared" si="17"/>
        <v>2</v>
      </c>
      <c r="Z56" s="10">
        <f t="shared" si="18"/>
        <v>2</v>
      </c>
      <c r="AA56" s="10">
        <f t="shared" si="8"/>
        <v>4</v>
      </c>
      <c r="AB56" s="33">
        <f t="shared" si="9"/>
        <v>20.380211241711606</v>
      </c>
      <c r="AC56" s="11">
        <f t="shared" si="10"/>
        <v>34</v>
      </c>
      <c r="AD56" s="4"/>
      <c r="AE56" s="4">
        <f t="shared" si="11"/>
        <v>2</v>
      </c>
      <c r="AF56" s="4" t="s">
        <v>56</v>
      </c>
    </row>
    <row r="57" spans="1:32" x14ac:dyDescent="0.25">
      <c r="A57" s="4">
        <v>56</v>
      </c>
      <c r="B57" s="15" t="s">
        <v>220</v>
      </c>
      <c r="C57" s="15" t="s">
        <v>221</v>
      </c>
      <c r="D57" s="15" t="s">
        <v>222</v>
      </c>
      <c r="E57" s="9">
        <v>39.460099999999997</v>
      </c>
      <c r="F57" s="9">
        <v>71.510099999999994</v>
      </c>
      <c r="G57" s="15">
        <v>0.16300000000000001</v>
      </c>
      <c r="H57" s="16" t="s">
        <v>223</v>
      </c>
      <c r="I57" s="30">
        <v>2</v>
      </c>
      <c r="J57" s="7" t="s">
        <v>61</v>
      </c>
      <c r="K57" s="15">
        <v>8</v>
      </c>
      <c r="L57" s="7" t="s">
        <v>33</v>
      </c>
      <c r="M57" s="17"/>
      <c r="N57" s="16">
        <v>0</v>
      </c>
      <c r="O57" s="16">
        <v>0</v>
      </c>
      <c r="P57" s="16">
        <v>0</v>
      </c>
      <c r="Q57" s="10">
        <f>IF(ISBLANK(Таблица_CZ_TMF2[[#This Row],[Used capacity million m³]]),"",LOG10(Таблица_CZ_TMF2[[#This Row],[Used capacity million m³]]*1000000))</f>
        <v>5.2121876044039581</v>
      </c>
      <c r="R57" s="6">
        <f t="shared" si="13"/>
        <v>2</v>
      </c>
      <c r="S57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57" s="6">
        <f t="shared" si="14"/>
        <v>1</v>
      </c>
      <c r="U57" s="6">
        <f t="shared" si="15"/>
        <v>1</v>
      </c>
      <c r="V57" s="6">
        <f t="shared" si="16"/>
        <v>1</v>
      </c>
      <c r="W57" s="31">
        <f t="shared" si="4"/>
        <v>12.212187604403958</v>
      </c>
      <c r="X57" s="7">
        <f t="shared" si="5"/>
        <v>55</v>
      </c>
      <c r="Y57" s="10">
        <f t="shared" si="17"/>
        <v>1</v>
      </c>
      <c r="Z57" s="10">
        <f t="shared" si="18"/>
        <v>1</v>
      </c>
      <c r="AA57" s="10">
        <f t="shared" si="8"/>
        <v>2</v>
      </c>
      <c r="AB57" s="33">
        <f t="shared" si="9"/>
        <v>14.212187604403958</v>
      </c>
      <c r="AC57" s="11">
        <f t="shared" si="10"/>
        <v>59</v>
      </c>
      <c r="AD57" s="4"/>
      <c r="AE57" s="4">
        <f t="shared" si="11"/>
        <v>2</v>
      </c>
      <c r="AF57" s="4" t="s">
        <v>34</v>
      </c>
    </row>
    <row r="58" spans="1:32" x14ac:dyDescent="0.25">
      <c r="A58" s="4">
        <v>57</v>
      </c>
      <c r="B58" s="15" t="s">
        <v>224</v>
      </c>
      <c r="C58" s="15" t="s">
        <v>225</v>
      </c>
      <c r="D58" s="15" t="s">
        <v>226</v>
      </c>
      <c r="E58" s="9">
        <v>39.580100000000002</v>
      </c>
      <c r="F58" s="9">
        <v>71.1601</v>
      </c>
      <c r="G58" s="15">
        <v>3.923</v>
      </c>
      <c r="H58" s="16" t="s">
        <v>223</v>
      </c>
      <c r="I58" s="30">
        <v>2</v>
      </c>
      <c r="J58" s="7" t="s">
        <v>61</v>
      </c>
      <c r="K58" s="15">
        <v>8</v>
      </c>
      <c r="L58" s="7" t="s">
        <v>33</v>
      </c>
      <c r="M58" s="17"/>
      <c r="N58" s="16" t="s">
        <v>227</v>
      </c>
      <c r="O58" s="28" t="s">
        <v>55</v>
      </c>
      <c r="P58" s="16">
        <v>0</v>
      </c>
      <c r="Q58" s="12">
        <f>IF(ISBLANK(Таблица_CZ_TMF2[[#This Row],[Used capacity million m³]]),"",LOG10(Таблица_CZ_TMF2[[#This Row],[Used capacity million m³]]*1000000))</f>
        <v>6.5936183081295363</v>
      </c>
      <c r="R58" s="6">
        <f t="shared" si="13"/>
        <v>2</v>
      </c>
      <c r="S58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58" s="13">
        <f t="shared" si="14"/>
        <v>1</v>
      </c>
      <c r="U58" s="13">
        <f t="shared" si="15"/>
        <v>1</v>
      </c>
      <c r="V58" s="13">
        <f t="shared" si="16"/>
        <v>1</v>
      </c>
      <c r="W58" s="31">
        <f t="shared" si="4"/>
        <v>13.593618308129535</v>
      </c>
      <c r="X58" s="7">
        <f t="shared" si="5"/>
        <v>36</v>
      </c>
      <c r="Y58" s="10">
        <f t="shared" si="17"/>
        <v>1</v>
      </c>
      <c r="Z58" s="10">
        <f t="shared" si="18"/>
        <v>3</v>
      </c>
      <c r="AA58" s="10">
        <f t="shared" si="8"/>
        <v>4</v>
      </c>
      <c r="AB58" s="33">
        <f t="shared" si="9"/>
        <v>17.593618308129535</v>
      </c>
      <c r="AC58" s="11">
        <f t="shared" si="10"/>
        <v>48</v>
      </c>
      <c r="AD58" s="4"/>
      <c r="AE58" s="4">
        <f t="shared" si="11"/>
        <v>2</v>
      </c>
      <c r="AF58" s="4" t="s">
        <v>34</v>
      </c>
    </row>
    <row r="59" spans="1:32" x14ac:dyDescent="0.25">
      <c r="A59" s="4">
        <v>58</v>
      </c>
      <c r="B59" s="15" t="s">
        <v>228</v>
      </c>
      <c r="C59" s="15" t="s">
        <v>229</v>
      </c>
      <c r="D59" s="15" t="s">
        <v>230</v>
      </c>
      <c r="E59" s="9">
        <v>39.580615999999999</v>
      </c>
      <c r="F59" s="9">
        <v>72.448068000000006</v>
      </c>
      <c r="G59" s="15">
        <v>0.45</v>
      </c>
      <c r="H59" s="7" t="s">
        <v>197</v>
      </c>
      <c r="I59" s="15">
        <v>3</v>
      </c>
      <c r="J59" s="7" t="s">
        <v>32</v>
      </c>
      <c r="K59" s="15">
        <v>8</v>
      </c>
      <c r="L59" s="7" t="s">
        <v>33</v>
      </c>
      <c r="M59" s="17"/>
      <c r="N59" s="16" t="s">
        <v>231</v>
      </c>
      <c r="O59" s="16"/>
      <c r="P59" s="16">
        <v>1000</v>
      </c>
      <c r="Q59" s="10">
        <f>IF(ISBLANK(Таблица_CZ_TMF2[[#This Row],[Used capacity million m³]]),"",LOG10(Таблица_CZ_TMF2[[#This Row],[Used capacity million m³]]*1000000))</f>
        <v>5.653212513775344</v>
      </c>
      <c r="R59" s="6">
        <f t="shared" si="13"/>
        <v>3</v>
      </c>
      <c r="S59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59" s="6">
        <f t="shared" si="14"/>
        <v>1</v>
      </c>
      <c r="U59" s="6">
        <f t="shared" si="15"/>
        <v>1</v>
      </c>
      <c r="V59" s="6">
        <f t="shared" si="16"/>
        <v>1</v>
      </c>
      <c r="W59" s="31">
        <f t="shared" si="4"/>
        <v>14.653212513775344</v>
      </c>
      <c r="X59" s="7">
        <f t="shared" si="5"/>
        <v>14</v>
      </c>
      <c r="Y59" s="10">
        <f t="shared" si="17"/>
        <v>0</v>
      </c>
      <c r="Z59" s="10">
        <f t="shared" si="18"/>
        <v>1</v>
      </c>
      <c r="AA59" s="10">
        <f t="shared" si="8"/>
        <v>1</v>
      </c>
      <c r="AB59" s="33">
        <f t="shared" si="9"/>
        <v>15.653212513775344</v>
      </c>
      <c r="AC59" s="11">
        <f t="shared" si="10"/>
        <v>55</v>
      </c>
      <c r="AD59" s="4"/>
      <c r="AE59" s="4">
        <f t="shared" si="11"/>
        <v>2</v>
      </c>
      <c r="AF59" s="4" t="s">
        <v>34</v>
      </c>
    </row>
    <row r="60" spans="1:32" ht="16.2" customHeight="1" x14ac:dyDescent="0.25">
      <c r="A60" s="4">
        <v>59</v>
      </c>
      <c r="B60" s="15" t="s">
        <v>232</v>
      </c>
      <c r="C60" s="8" t="s">
        <v>233</v>
      </c>
      <c r="D60" s="8" t="s">
        <v>234</v>
      </c>
      <c r="E60" s="9">
        <v>42.733533000000001</v>
      </c>
      <c r="F60" s="9">
        <v>75.608941999999999</v>
      </c>
      <c r="G60" s="7">
        <v>8.7100000000000011E-2</v>
      </c>
      <c r="H60" s="7" t="s">
        <v>235</v>
      </c>
      <c r="I60" s="7">
        <v>4</v>
      </c>
      <c r="J60" s="7" t="s">
        <v>32</v>
      </c>
      <c r="K60" s="7">
        <v>8.02</v>
      </c>
      <c r="L60" s="5" t="s">
        <v>33</v>
      </c>
      <c r="M60" s="7"/>
      <c r="N60" s="4" t="s">
        <v>193</v>
      </c>
      <c r="O60" s="28" t="s">
        <v>55</v>
      </c>
      <c r="P60" s="29">
        <f xml:space="preserve"> 6260+44118+487</f>
        <v>50865</v>
      </c>
      <c r="Q60" s="12">
        <f>IF(ISBLANK(Таблица_CZ_TMF2[[#This Row],[Used capacity million m³]]),"",LOG10(Таблица_CZ_TMF2[[#This Row],[Used capacity million m³]]*1000000))</f>
        <v>4.9400181550076629</v>
      </c>
      <c r="R60" s="6">
        <f t="shared" si="13"/>
        <v>4</v>
      </c>
      <c r="S60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60" s="13">
        <f t="shared" si="14"/>
        <v>1</v>
      </c>
      <c r="U60" s="13">
        <f t="shared" si="15"/>
        <v>1</v>
      </c>
      <c r="V60" s="13">
        <f t="shared" si="16"/>
        <v>1</v>
      </c>
      <c r="W60" s="31">
        <f t="shared" si="4"/>
        <v>14.940018155007664</v>
      </c>
      <c r="X60" s="7">
        <f t="shared" si="5"/>
        <v>10</v>
      </c>
      <c r="Y60" s="10">
        <f t="shared" si="17"/>
        <v>5</v>
      </c>
      <c r="Z60" s="10">
        <f t="shared" si="18"/>
        <v>3</v>
      </c>
      <c r="AA60" s="10">
        <f t="shared" si="8"/>
        <v>8</v>
      </c>
      <c r="AB60" s="33">
        <f t="shared" si="9"/>
        <v>22.940018155007664</v>
      </c>
      <c r="AC60" s="11">
        <f t="shared" si="10"/>
        <v>2</v>
      </c>
      <c r="AD60" s="4"/>
      <c r="AE60" s="4">
        <f t="shared" si="11"/>
        <v>2</v>
      </c>
      <c r="AF60" s="4" t="s">
        <v>34</v>
      </c>
    </row>
    <row r="61" spans="1:32" x14ac:dyDescent="0.25">
      <c r="A61" s="4">
        <v>60</v>
      </c>
      <c r="B61" s="15" t="s">
        <v>236</v>
      </c>
      <c r="C61" s="15" t="s">
        <v>237</v>
      </c>
      <c r="D61" s="8" t="s">
        <v>234</v>
      </c>
      <c r="E61" s="9">
        <v>42.733761999999999</v>
      </c>
      <c r="F61" s="9">
        <v>75.609713999999997</v>
      </c>
      <c r="G61" s="7">
        <v>1E-4</v>
      </c>
      <c r="H61" s="7" t="s">
        <v>235</v>
      </c>
      <c r="I61" s="7">
        <v>4</v>
      </c>
      <c r="J61" s="7" t="s">
        <v>32</v>
      </c>
      <c r="K61" s="7">
        <v>8.02</v>
      </c>
      <c r="L61" s="5" t="s">
        <v>33</v>
      </c>
      <c r="M61" s="7"/>
      <c r="N61" s="4" t="s">
        <v>193</v>
      </c>
      <c r="O61" s="28" t="s">
        <v>55</v>
      </c>
      <c r="P61" s="29">
        <f xml:space="preserve"> 6260+44118+487</f>
        <v>50865</v>
      </c>
      <c r="Q61" s="12">
        <f>IF(ISBLANK(Таблица_CZ_TMF2[[#This Row],[Used capacity million m³]]),"",LOG10(Таблица_CZ_TMF2[[#This Row],[Used capacity million m³]]*1000000))</f>
        <v>2</v>
      </c>
      <c r="R61" s="13">
        <f t="shared" si="13"/>
        <v>4</v>
      </c>
      <c r="S61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61" s="13">
        <f t="shared" si="14"/>
        <v>1</v>
      </c>
      <c r="U61" s="13">
        <f t="shared" si="15"/>
        <v>1</v>
      </c>
      <c r="V61" s="13">
        <f t="shared" si="16"/>
        <v>1</v>
      </c>
      <c r="W61" s="31">
        <f t="shared" si="4"/>
        <v>12</v>
      </c>
      <c r="X61" s="7">
        <f t="shared" si="5"/>
        <v>56</v>
      </c>
      <c r="Y61" s="10">
        <f t="shared" si="17"/>
        <v>5</v>
      </c>
      <c r="Z61" s="10">
        <f t="shared" si="18"/>
        <v>3</v>
      </c>
      <c r="AA61" s="10">
        <f t="shared" si="8"/>
        <v>8</v>
      </c>
      <c r="AB61" s="33">
        <f t="shared" si="9"/>
        <v>20</v>
      </c>
      <c r="AC61" s="11">
        <f t="shared" si="10"/>
        <v>37</v>
      </c>
      <c r="AD61" s="4"/>
      <c r="AE61" s="4">
        <f t="shared" si="11"/>
        <v>2</v>
      </c>
      <c r="AF61" s="4" t="s">
        <v>56</v>
      </c>
    </row>
    <row r="62" spans="1:32" x14ac:dyDescent="0.25">
      <c r="A62" s="4">
        <v>61</v>
      </c>
      <c r="B62" s="15" t="s">
        <v>238</v>
      </c>
      <c r="C62" s="5" t="s">
        <v>239</v>
      </c>
      <c r="D62" s="5" t="s">
        <v>240</v>
      </c>
      <c r="E62" s="8">
        <v>41.371566999999999</v>
      </c>
      <c r="F62" s="8">
        <v>73.965092999999996</v>
      </c>
      <c r="G62" s="15">
        <v>7.1</v>
      </c>
      <c r="H62" s="7" t="s">
        <v>241</v>
      </c>
      <c r="I62" s="15">
        <v>3</v>
      </c>
      <c r="J62" s="7" t="s">
        <v>61</v>
      </c>
      <c r="K62" s="7">
        <v>8.02</v>
      </c>
      <c r="L62" s="5" t="s">
        <v>33</v>
      </c>
      <c r="M62" s="4"/>
      <c r="N62" s="7">
        <v>0</v>
      </c>
      <c r="O62" s="7">
        <v>0</v>
      </c>
      <c r="P62" s="7">
        <v>0</v>
      </c>
      <c r="Q62" s="12">
        <f>IF(ISBLANK(Таблица_CZ_TMF2[[#This Row],[Used capacity million m³]]),"",LOG10(Таблица_CZ_TMF2[[#This Row],[Used capacity million m³]]*1000000))</f>
        <v>6.8512583487190755</v>
      </c>
      <c r="R62" s="13">
        <f t="shared" si="13"/>
        <v>3</v>
      </c>
      <c r="S62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2</v>
      </c>
      <c r="T62" s="13">
        <f t="shared" si="14"/>
        <v>1</v>
      </c>
      <c r="U62" s="13">
        <f t="shared" si="15"/>
        <v>1</v>
      </c>
      <c r="V62" s="13">
        <f t="shared" si="16"/>
        <v>1</v>
      </c>
      <c r="W62" s="31">
        <f t="shared" si="4"/>
        <v>14.851258348719075</v>
      </c>
      <c r="X62" s="7">
        <f t="shared" si="5"/>
        <v>12</v>
      </c>
      <c r="Y62" s="10">
        <f t="shared" si="17"/>
        <v>1</v>
      </c>
      <c r="Z62" s="10">
        <f t="shared" si="18"/>
        <v>1</v>
      </c>
      <c r="AA62" s="10">
        <f t="shared" si="8"/>
        <v>2</v>
      </c>
      <c r="AB62" s="33">
        <f t="shared" si="9"/>
        <v>16.851258348719075</v>
      </c>
      <c r="AC62" s="11">
        <f t="shared" si="10"/>
        <v>52</v>
      </c>
      <c r="AD62" s="4"/>
      <c r="AE62" s="4">
        <f t="shared" si="11"/>
        <v>2</v>
      </c>
      <c r="AF62" s="4" t="s">
        <v>34</v>
      </c>
    </row>
    <row r="63" spans="1:32" x14ac:dyDescent="0.25">
      <c r="A63" s="4">
        <v>62</v>
      </c>
      <c r="B63" s="15" t="s">
        <v>242</v>
      </c>
      <c r="C63" s="5" t="s">
        <v>243</v>
      </c>
      <c r="D63" s="5" t="s">
        <v>244</v>
      </c>
      <c r="E63" s="8">
        <v>40.139412999999998</v>
      </c>
      <c r="F63" s="8">
        <v>72.138580000000005</v>
      </c>
      <c r="G63" s="15">
        <v>1.9</v>
      </c>
      <c r="H63" s="7" t="s">
        <v>223</v>
      </c>
      <c r="I63" s="15">
        <v>3</v>
      </c>
      <c r="J63" s="7" t="s">
        <v>32</v>
      </c>
      <c r="K63" s="7">
        <v>8.02</v>
      </c>
      <c r="L63" s="5" t="s">
        <v>33</v>
      </c>
      <c r="M63" s="4"/>
      <c r="N63" s="7" t="s">
        <v>245</v>
      </c>
      <c r="O63" s="28" t="s">
        <v>55</v>
      </c>
      <c r="P63" s="29">
        <v>2000</v>
      </c>
      <c r="Q63" s="12">
        <f>IF(ISBLANK(Таблица_CZ_TMF2[[#This Row],[Used capacity million m³]]),"",LOG10(Таблица_CZ_TMF2[[#This Row],[Used capacity million m³]]*1000000))</f>
        <v>6.2787536009528289</v>
      </c>
      <c r="R63" s="13">
        <f t="shared" si="13"/>
        <v>3</v>
      </c>
      <c r="S63" s="6">
        <f>IF(ISBLANK(Таблица_CZ_TMF2[[#This Row],[TMF status]]),"",IF(OR(Таблица_CZ_TMF2[[#This Row],[TMF status]]="Rehabilitated",Таблица_CZ_TMF2[[#This Row],[TMF status]]="Closed"),0,IF(OR(Таблица_CZ_TMF2[[#This Row],[TMF status]]="Active",Таблица_CZ_TMF2[[#This Row],[TMF status]]="Abandoned"),3,IF(OR(Таблица_CZ_TMF2[[#This Row],[TMF status]]="Suspended"),2))))</f>
        <v>3</v>
      </c>
      <c r="T63" s="13">
        <f t="shared" si="14"/>
        <v>1</v>
      </c>
      <c r="U63" s="13">
        <f t="shared" si="15"/>
        <v>1</v>
      </c>
      <c r="V63" s="13">
        <f t="shared" si="16"/>
        <v>1</v>
      </c>
      <c r="W63" s="31">
        <f t="shared" si="4"/>
        <v>15.278753600952829</v>
      </c>
      <c r="X63" s="7">
        <f t="shared" si="5"/>
        <v>7</v>
      </c>
      <c r="Y63" s="10">
        <f t="shared" si="17"/>
        <v>4</v>
      </c>
      <c r="Z63" s="10">
        <f t="shared" si="18"/>
        <v>3</v>
      </c>
      <c r="AA63" s="10">
        <f t="shared" si="8"/>
        <v>7</v>
      </c>
      <c r="AB63" s="33">
        <f t="shared" si="9"/>
        <v>22.278753600952829</v>
      </c>
      <c r="AC63" s="11">
        <f t="shared" si="10"/>
        <v>9</v>
      </c>
      <c r="AD63" s="4"/>
      <c r="AE63" s="4">
        <f t="shared" si="11"/>
        <v>2</v>
      </c>
      <c r="AF63" s="4" t="s">
        <v>68</v>
      </c>
    </row>
  </sheetData>
  <dataValidations disablePrompts="1" count="2">
    <dataValidation type="list" allowBlank="1" showInputMessage="1" showErrorMessage="1" sqref="O6 O11:O42 O44:O47 O50:O55 O58 O60:O61 O63" xr:uid="{C5690292-3074-45B8-B527-901A25D82EE6}">
      <formula1>$AB$2:$AB$4</formula1>
    </dataValidation>
    <dataValidation type="list" allowBlank="1" showInputMessage="1" showErrorMessage="1" sqref="I53 I57:I58" xr:uid="{B64E4954-A11F-4957-831E-5DD4DAED7BD4}">
      <formula1>$AE$2:$AI$2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 ref="">
    <f:field ref="objname" par="" text="19 TMF inventory EN"/>
    <f:field ref="objsubject" par="" text=""/>
    <f:field ref="objcreatedby" par="" text="Schmid, Marie-Ann"/>
    <f:field ref="objcreatedat" par="" text="31.05.2023 09:54:57"/>
    <f:field ref="objchangedby" par="" text="Schmidt, Holger"/>
    <f:field ref="objmodifiedat" par="" text="18.08.2023 09:18:39"/>
    <f:field ref="doc_FSCFOLIO_1_1001_FieldDocumentNumber" par="" text=""/>
    <f:field ref="doc_FSCFOLIO_1_1001_FieldSubject" par="" text=""/>
    <f:field ref="FSCFOLIO_1_1001_FieldCurrentUser" par="" text="Holger Schmidt"/>
    <f:field ref="CCAPRECONFIG_15_1001_Objektname" par="" text="19 TMF inventory EN"/>
    <f:field ref="DEPRECONFIG_15_1001_Objektname" par="" text="19 TMF inventory 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DE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Oleksandra Logunova</dc:creator>
  <cp:keywords/>
  <dc:description/>
  <cp:lastModifiedBy>Oleksandra Lohunova</cp:lastModifiedBy>
  <cp:revision/>
  <dcterms:created xsi:type="dcterms:W3CDTF">2022-02-15T13:32:53Z</dcterms:created>
  <dcterms:modified xsi:type="dcterms:W3CDTF">2022-02-17T09:53:42Z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UBACFG@15.1700:Author" pid="2" fmtid="{D5CDD505-2E9C-101B-9397-08002B2CF9AE}">
    <vt:lpwstr>Marie-Ann Schmid</vt:lpwstr>
  </property>
  <property name="FSC#UBACFG@15.1700:MailAuthor" pid="3" fmtid="{D5CDD505-2E9C-101B-9397-08002B2CF9AE}">
    <vt:lpwstr>Marie-Ann.Schmid@uba.de</vt:lpwstr>
  </property>
  <property name="FSC#UBACFG@15.1700:Mail2Author" pid="4" fmtid="{D5CDD505-2E9C-101B-9397-08002B2CF9AE}">
    <vt:lpwstr/>
  </property>
  <property name="FSC#UBACFG@15.1700:TelephonAuthor" pid="5" fmtid="{D5CDD505-2E9C-101B-9397-08002B2CF9AE}">
    <vt:lpwstr/>
  </property>
  <property name="FSC#UBACFG@15.1700:FaxAuthor" pid="6" fmtid="{D5CDD505-2E9C-101B-9397-08002B2CF9AE}">
    <vt:lpwstr/>
  </property>
  <property name="FSC#UBACFG@15.1700:SurnameAuthor" pid="7" fmtid="{D5CDD505-2E9C-101B-9397-08002B2CF9AE}">
    <vt:lpwstr>Schmid</vt:lpwstr>
  </property>
  <property name="FSC#UBACFG@15.1700:GroupReferrednumber" pid="8" fmtid="{D5CDD505-2E9C-101B-9397-08002B2CF9AE}">
    <vt:lpwstr>III 2.3 (Fachgebiet III 2.3 - Anlagensicherheit)</vt:lpwstr>
  </property>
  <property name="FSC#UBACFG@15.1700:FinalVersionSignerProcedure" pid="9" fmtid="{D5CDD505-2E9C-101B-9397-08002B2CF9AE}">
    <vt:lpwstr/>
  </property>
  <property name="FSC#UBACFG@15.1700:FileReferenceProcedure" pid="10" fmtid="{D5CDD505-2E9C-101B-9397-08002B2CF9AE}">
    <vt:lpwstr>90 213-59/0009#0015</vt:lpwstr>
  </property>
  <property name="FSC#UBACFG@15.1700:SubjectReferrednumber" pid="11" fmtid="{D5CDD505-2E9C-101B-9397-08002B2CF9AE}">
    <vt:lpwstr>Vermerk_x005f_Veröffentlichung_x000d__x000a_ </vt:lpwstr>
  </property>
  <property name="FSC#UBACFG@15.1700:ObjnameReferrednumber" pid="12" fmtid="{D5CDD505-2E9C-101B-9397-08002B2CF9AE}">
    <vt:lpwstr>90 213-59/0009#0015-0001 -  Veröffentlichung von: Методология обеспечения безопасности </vt:lpwstr>
  </property>
  <property name="FSC#COOELAK@1.1001:Subject" pid="13" fmtid="{D5CDD505-2E9C-101B-9397-08002B2CF9AE}">
    <vt:lpwstr>Verbesserung der Sicherheit industrieller Rückhaltebecken in Kirgisistan</vt:lpwstr>
  </property>
  <property name="FSC#COOELAK@1.1001:FileReference" pid="14" fmtid="{D5CDD505-2E9C-101B-9397-08002B2CF9AE}">
    <vt:lpwstr>90 213-59/0009</vt:lpwstr>
  </property>
  <property name="FSC#COOELAK@1.1001:FileRefYear" pid="15" fmtid="{D5CDD505-2E9C-101B-9397-08002B2CF9AE}">
    <vt:lpwstr>2021</vt:lpwstr>
  </property>
  <property name="FSC#COOELAK@1.1001:FileRefOrdinal" pid="16" fmtid="{D5CDD505-2E9C-101B-9397-08002B2CF9AE}">
    <vt:lpwstr>9</vt:lpwstr>
  </property>
  <property name="FSC#COOELAK@1.1001:FileRefOU" pid="17" fmtid="{D5CDD505-2E9C-101B-9397-08002B2CF9AE}">
    <vt:lpwstr>I 1.2</vt:lpwstr>
  </property>
  <property name="FSC#COOELAK@1.1001:Organization" pid="18" fmtid="{D5CDD505-2E9C-101B-9397-08002B2CF9AE}">
    <vt:lpwstr/>
  </property>
  <property name="FSC#COOELAK@1.1001:Owner" pid="19" fmtid="{D5CDD505-2E9C-101B-9397-08002B2CF9AE}">
    <vt:lpwstr>Schmid Marie-Ann</vt:lpwstr>
  </property>
  <property name="FSC#COOELAK@1.1001:OwnerExtension" pid="20" fmtid="{D5CDD505-2E9C-101B-9397-08002B2CF9AE}">
    <vt:lpwstr/>
  </property>
  <property name="FSC#COOELAK@1.1001:OwnerFaxExtension" pid="21" fmtid="{D5CDD505-2E9C-101B-9397-08002B2CF9AE}">
    <vt:lpwstr/>
  </property>
  <property name="FSC#COOELAK@1.1001:DispatchedBy" pid="22" fmtid="{D5CDD505-2E9C-101B-9397-08002B2CF9AE}">
    <vt:lpwstr/>
  </property>
  <property name="FSC#COOELAK@1.1001:DispatchedAt" pid="23" fmtid="{D5CDD505-2E9C-101B-9397-08002B2CF9AE}">
    <vt:lpwstr/>
  </property>
  <property name="FSC#COOELAK@1.1001:ApprovedBy" pid="24" fmtid="{D5CDD505-2E9C-101B-9397-08002B2CF9AE}">
    <vt:lpwstr/>
  </property>
  <property name="FSC#COOELAK@1.1001:ApprovedAt" pid="25" fmtid="{D5CDD505-2E9C-101B-9397-08002B2CF9AE}">
    <vt:lpwstr/>
  </property>
  <property name="FSC#COOELAK@1.1001:Department" pid="26" fmtid="{D5CDD505-2E9C-101B-9397-08002B2CF9AE}">
    <vt:lpwstr>III 2.3 (Fachgebiet III 2.3 - Anlagensicherheit)</vt:lpwstr>
  </property>
  <property name="FSC#COOELAK@1.1001:CreatedAt" pid="27" fmtid="{D5CDD505-2E9C-101B-9397-08002B2CF9AE}">
    <vt:lpwstr>31.05.2023</vt:lpwstr>
  </property>
  <property name="FSC#COOELAK@1.1001:OU" pid="28" fmtid="{D5CDD505-2E9C-101B-9397-08002B2CF9AE}">
    <vt:lpwstr>III 2.3 (Fachgebiet III 2.3 - Anlagensicherheit)</vt:lpwstr>
  </property>
  <property name="FSC#COOELAK@1.1001:Priority" pid="29" fmtid="{D5CDD505-2E9C-101B-9397-08002B2CF9AE}">
    <vt:lpwstr> ()</vt:lpwstr>
  </property>
  <property name="FSC#COOELAK@1.1001:ObjBarCode" pid="30" fmtid="{D5CDD505-2E9C-101B-9397-08002B2CF9AE}">
    <vt:lpwstr>*COO.2245.100.8.1356919*</vt:lpwstr>
  </property>
  <property name="FSC#COOELAK@1.1001:RefBarCode" pid="31" fmtid="{D5CDD505-2E9C-101B-9397-08002B2CF9AE}">
    <vt:lpwstr>*COO.2245.100.3.279643*</vt:lpwstr>
  </property>
  <property name="FSC#COOELAK@1.1001:FileRefBarCode" pid="32" fmtid="{D5CDD505-2E9C-101B-9397-08002B2CF9AE}">
    <vt:lpwstr>*90 213-59/0009*</vt:lpwstr>
  </property>
  <property name="FSC#COOELAK@1.1001:ExternalRef" pid="33" fmtid="{D5CDD505-2E9C-101B-9397-08002B2CF9AE}">
    <vt:lpwstr/>
  </property>
  <property name="FSC#COOELAK@1.1001:IncomingNumber" pid="34" fmtid="{D5CDD505-2E9C-101B-9397-08002B2CF9AE}">
    <vt:lpwstr/>
  </property>
  <property name="FSC#COOELAK@1.1001:IncomingSubject" pid="35" fmtid="{D5CDD505-2E9C-101B-9397-08002B2CF9AE}">
    <vt:lpwstr/>
  </property>
  <property name="FSC#COOELAK@1.1001:ProcessResponsible" pid="36" fmtid="{D5CDD505-2E9C-101B-9397-08002B2CF9AE}">
    <vt:lpwstr>Wollmann Ralph</vt:lpwstr>
  </property>
  <property name="FSC#COOELAK@1.1001:ProcessResponsiblePhone" pid="37" fmtid="{D5CDD505-2E9C-101B-9397-08002B2CF9AE}">
    <vt:lpwstr/>
  </property>
  <property name="FSC#COOELAK@1.1001:ProcessResponsibleMail" pid="38" fmtid="{D5CDD505-2E9C-101B-9397-08002B2CF9AE}">
    <vt:lpwstr>Ralph.Wollmann@uba.de</vt:lpwstr>
  </property>
  <property name="FSC#COOELAK@1.1001:ProcessResponsibleFax" pid="39" fmtid="{D5CDD505-2E9C-101B-9397-08002B2CF9AE}">
    <vt:lpwstr/>
  </property>
  <property name="FSC#COOELAK@1.1001:ApproverFirstName" pid="40" fmtid="{D5CDD505-2E9C-101B-9397-08002B2CF9AE}">
    <vt:lpwstr/>
  </property>
  <property name="FSC#COOELAK@1.1001:ApproverSurName" pid="41" fmtid="{D5CDD505-2E9C-101B-9397-08002B2CF9AE}">
    <vt:lpwstr/>
  </property>
  <property name="FSC#COOELAK@1.1001:ApproverTitle" pid="42" fmtid="{D5CDD505-2E9C-101B-9397-08002B2CF9AE}">
    <vt:lpwstr/>
  </property>
  <property name="FSC#COOELAK@1.1001:ExternalDate" pid="43" fmtid="{D5CDD505-2E9C-101B-9397-08002B2CF9AE}">
    <vt:lpwstr/>
  </property>
  <property name="FSC#COOELAK@1.1001:SettlementApprovedAt" pid="44" fmtid="{D5CDD505-2E9C-101B-9397-08002B2CF9AE}">
    <vt:lpwstr/>
  </property>
  <property name="FSC#COOELAK@1.1001:BaseNumber" pid="45" fmtid="{D5CDD505-2E9C-101B-9397-08002B2CF9AE}">
    <vt:lpwstr>90 213-59</vt:lpwstr>
  </property>
  <property name="FSC#COOELAK@1.1001:CurrentUserRolePos" pid="46" fmtid="{D5CDD505-2E9C-101B-9397-08002B2CF9AE}">
    <vt:lpwstr>Sachbearbeiter/in</vt:lpwstr>
  </property>
  <property name="FSC#COOELAK@1.1001:CurrentUserEmail" pid="47" fmtid="{D5CDD505-2E9C-101B-9397-08002B2CF9AE}">
    <vt:lpwstr>Holger.Schmidt@uba.de</vt:lpwstr>
  </property>
  <property name="FSC#ELAKGOV@1.1001:PersonalSubjGender" pid="48" fmtid="{D5CDD505-2E9C-101B-9397-08002B2CF9AE}">
    <vt:lpwstr/>
  </property>
  <property name="FSC#ELAKGOV@1.1001:PersonalSubjFirstName" pid="49" fmtid="{D5CDD505-2E9C-101B-9397-08002B2CF9AE}">
    <vt:lpwstr/>
  </property>
  <property name="FSC#ELAKGOV@1.1001:PersonalSubjSurName" pid="50" fmtid="{D5CDD505-2E9C-101B-9397-08002B2CF9AE}">
    <vt:lpwstr/>
  </property>
  <property name="FSC#ELAKGOV@1.1001:PersonalSubjSalutation" pid="51" fmtid="{D5CDD505-2E9C-101B-9397-08002B2CF9AE}">
    <vt:lpwstr/>
  </property>
  <property name="FSC#ELAKGOV@1.1001:PersonalSubjAddress" pid="52" fmtid="{D5CDD505-2E9C-101B-9397-08002B2CF9AE}">
    <vt:lpwstr/>
  </property>
  <property name="FSC#ATSTATECFG@1.1001:Office" pid="53" fmtid="{D5CDD505-2E9C-101B-9397-08002B2CF9AE}">
    <vt:lpwstr/>
  </property>
  <property name="FSC#ATSTATECFG@1.1001:Agent" pid="54" fmtid="{D5CDD505-2E9C-101B-9397-08002B2CF9AE}">
    <vt:lpwstr/>
  </property>
  <property name="FSC#ATSTATECFG@1.1001:AgentPhone" pid="55" fmtid="{D5CDD505-2E9C-101B-9397-08002B2CF9AE}">
    <vt:lpwstr/>
  </property>
  <property name="FSC#ATSTATECFG@1.1001:DepartmentFax" pid="56" fmtid="{D5CDD505-2E9C-101B-9397-08002B2CF9AE}">
    <vt:lpwstr/>
  </property>
  <property name="FSC#ATSTATECFG@1.1001:DepartmentEmail" pid="57" fmtid="{D5CDD505-2E9C-101B-9397-08002B2CF9AE}">
    <vt:lpwstr/>
  </property>
  <property name="FSC#ATSTATECFG@1.1001:SubfileDate" pid="58" fmtid="{D5CDD505-2E9C-101B-9397-08002B2CF9AE}">
    <vt:lpwstr>31.05.2023</vt:lpwstr>
  </property>
  <property name="FSC#ATSTATECFG@1.1001:SubfileSubject" pid="59" fmtid="{D5CDD505-2E9C-101B-9397-08002B2CF9AE}">
    <vt:lpwstr>Vermerk_x005f_Veröffentlichung_x000d__x000a_ </vt:lpwstr>
  </property>
  <property name="FSC#ATSTATECFG@1.1001:DepartmentZipCode" pid="60" fmtid="{D5CDD505-2E9C-101B-9397-08002B2CF9AE}">
    <vt:lpwstr/>
  </property>
  <property name="FSC#ATSTATECFG@1.1001:DepartmentCountry" pid="61" fmtid="{D5CDD505-2E9C-101B-9397-08002B2CF9AE}">
    <vt:lpwstr/>
  </property>
  <property name="FSC#ATSTATECFG@1.1001:DepartmentCity" pid="62" fmtid="{D5CDD505-2E9C-101B-9397-08002B2CF9AE}">
    <vt:lpwstr/>
  </property>
  <property name="FSC#ATSTATECFG@1.1001:DepartmentStreet" pid="63" fmtid="{D5CDD505-2E9C-101B-9397-08002B2CF9AE}">
    <vt:lpwstr/>
  </property>
  <property name="FSC#ATSTATECFG@1.1001:DepartmentDVR" pid="64" fmtid="{D5CDD505-2E9C-101B-9397-08002B2CF9AE}">
    <vt:lpwstr/>
  </property>
  <property name="FSC#ATSTATECFG@1.1001:DepartmentUID" pid="65" fmtid="{D5CDD505-2E9C-101B-9397-08002B2CF9AE}">
    <vt:lpwstr/>
  </property>
  <property name="FSC#ATSTATECFG@1.1001:SubfileReference" pid="66" fmtid="{D5CDD505-2E9C-101B-9397-08002B2CF9AE}">
    <vt:lpwstr>90 213-59/0009#0015-0001</vt:lpwstr>
  </property>
  <property name="FSC#ATSTATECFG@1.1001:Clause" pid="67" fmtid="{D5CDD505-2E9C-101B-9397-08002B2CF9AE}">
    <vt:lpwstr/>
  </property>
  <property name="FSC#ATSTATECFG@1.1001:ApprovedSignature" pid="68" fmtid="{D5CDD505-2E9C-101B-9397-08002B2CF9AE}">
    <vt:lpwstr/>
  </property>
  <property name="FSC#ATSTATECFG@1.1001:BankAccount" pid="69" fmtid="{D5CDD505-2E9C-101B-9397-08002B2CF9AE}">
    <vt:lpwstr/>
  </property>
  <property name="FSC#ATSTATECFG@1.1001:BankAccountOwner" pid="70" fmtid="{D5CDD505-2E9C-101B-9397-08002B2CF9AE}">
    <vt:lpwstr/>
  </property>
  <property name="FSC#ATSTATECFG@1.1001:BankInstitute" pid="71" fmtid="{D5CDD505-2E9C-101B-9397-08002B2CF9AE}">
    <vt:lpwstr/>
  </property>
  <property name="FSC#ATSTATECFG@1.1001:BankAccountID" pid="72" fmtid="{D5CDD505-2E9C-101B-9397-08002B2CF9AE}">
    <vt:lpwstr/>
  </property>
  <property name="FSC#ATSTATECFG@1.1001:BankAccountIBAN" pid="73" fmtid="{D5CDD505-2E9C-101B-9397-08002B2CF9AE}">
    <vt:lpwstr/>
  </property>
  <property name="FSC#ATSTATECFG@1.1001:BankAccountBIC" pid="74" fmtid="{D5CDD505-2E9C-101B-9397-08002B2CF9AE}">
    <vt:lpwstr/>
  </property>
  <property name="FSC#ATSTATECFG@1.1001:BankName" pid="75" fmtid="{D5CDD505-2E9C-101B-9397-08002B2CF9AE}">
    <vt:lpwstr/>
  </property>
  <property name="FSC#FSCGOVDE@1.1001:FileRefOUEmail" pid="76" fmtid="{D5CDD505-2E9C-101B-9397-08002B2CF9AE}">
    <vt:lpwstr/>
  </property>
  <property name="FSC#FSCGOVDE@1.1001:ProcedureReference" pid="77" fmtid="{D5CDD505-2E9C-101B-9397-08002B2CF9AE}">
    <vt:lpwstr>90 213-59/0009#0015</vt:lpwstr>
  </property>
  <property name="FSC#FSCGOVDE@1.1001:FileSubject" pid="78" fmtid="{D5CDD505-2E9C-101B-9397-08002B2CF9AE}">
    <vt:lpwstr>Verbesserung der Sicherheit industrieller Rückhaltebecken in Kirgisistan</vt:lpwstr>
  </property>
  <property name="FSC#FSCGOVDE@1.1001:ProcedureSubject" pid="79" fmtid="{D5CDD505-2E9C-101B-9397-08002B2CF9AE}">
    <vt:lpwstr>Veröffentlichung von: Методология обеспечения безопасности хвостохранилищ bzw.  Tailings Management Facilities (TMF) Safety Methodology mit Anhängen: “Checklist-Tool” und “TMF-Inventory”, jeweils in englischer und russischer Sprache.</vt:lpwstr>
  </property>
  <property name="FSC#FSCGOVDE@1.1001:SignFinalVersionBy" pid="80" fmtid="{D5CDD505-2E9C-101B-9397-08002B2CF9AE}">
    <vt:lpwstr/>
  </property>
  <property name="FSC#FSCGOVDE@1.1001:SignFinalVersionAt" pid="81" fmtid="{D5CDD505-2E9C-101B-9397-08002B2CF9AE}">
    <vt:lpwstr/>
  </property>
  <property name="FSC#FSCGOVDE@1.1001:ProcedureRefBarCode" pid="82" fmtid="{D5CDD505-2E9C-101B-9397-08002B2CF9AE}">
    <vt:lpwstr>90 213-59/0009#0015</vt:lpwstr>
  </property>
  <property name="FSC#FSCGOVDE@1.1001:FileAddSubj" pid="83" fmtid="{D5CDD505-2E9C-101B-9397-08002B2CF9AE}">
    <vt:lpwstr/>
  </property>
  <property name="FSC#FSCGOVDE@1.1001:DocumentSubj" pid="84" fmtid="{D5CDD505-2E9C-101B-9397-08002B2CF9AE}">
    <vt:lpwstr>Vermerk_x005f_Veröffentlichung_x000d__x000a_ </vt:lpwstr>
  </property>
  <property name="FSC#FSCGOVDE@1.1001:FileRel" pid="85" fmtid="{D5CDD505-2E9C-101B-9397-08002B2CF9AE}">
    <vt:lpwstr/>
  </property>
  <property name="FSC#COOSYSTEM@1.1:Container" pid="86" fmtid="{D5CDD505-2E9C-101B-9397-08002B2CF9AE}">
    <vt:lpwstr>COO.2245.100.8.1356919</vt:lpwstr>
  </property>
  <property name="FSC#FSCFOLIO@1.1001:docpropproject" pid="87" fmtid="{D5CDD505-2E9C-101B-9397-08002B2CF9AE}">
    <vt:lpwstr/>
  </property>
</Properties>
</file>